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7.xml"/>
  <Override ContentType="application/vnd.openxmlformats-officedocument.spreadsheetml.comments+xml" PartName="/xl/comments9.xml"/>
  <Override ContentType="application/vnd.openxmlformats-officedocument.spreadsheetml.comments+xml" PartName="/xl/comments10.xml"/>
  <Override ContentType="application/vnd.openxmlformats-officedocument.spreadsheetml.comments+xml" PartName="/xl/comments6.xml"/>
  <Override ContentType="application/vnd.openxmlformats-officedocument.spreadsheetml.comments+xml" PartName="/xl/comments13.xml"/>
  <Override ContentType="application/vnd.openxmlformats-officedocument.spreadsheetml.comments+xml" PartName="/xl/comments4.xml"/>
  <Override ContentType="application/vnd.openxmlformats-officedocument.spreadsheetml.comments+xml" PartName="/xl/comments2.xml"/>
  <Override ContentType="application/vnd.openxmlformats-officedocument.spreadsheetml.comments+xml" PartName="/xl/comments8.xml"/>
  <Override ContentType="application/vnd.openxmlformats-officedocument.spreadsheetml.comments+xml" PartName="/xl/comments11.xml"/>
  <Override ContentType="application/vnd.openxmlformats-officedocument.spreadsheetml.comments+xml" PartName="/xl/comments12.xml"/>
  <Override ContentType="application/vnd.openxmlformats-officedocument.spreadsheetml.comments+xml" PartName="/xl/comments5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eta" sheetId="1" r:id="rId5"/>
    <sheet state="visible" name="Deck" sheetId="2" r:id="rId6"/>
    <sheet state="visible" name="Revenue Detail" sheetId="3" r:id="rId7"/>
    <sheet state="visible" name="P&amp;L Monthly" sheetId="4" r:id="rId8"/>
    <sheet state="visible" name="Bridge" sheetId="5" r:id="rId9"/>
    <sheet state="visible" name="Capital &amp; Cash" sheetId="6" r:id="rId10"/>
    <sheet state="visible" name="Balance Sheet" sheetId="7" r:id="rId11"/>
    <sheet state="visible" name="Operational" sheetId="8" r:id="rId12"/>
    <sheet state="visible" name="Guidance" sheetId="9" r:id="rId13"/>
    <sheet state="visible" name="Risk" sheetId="10" r:id="rId14"/>
    <sheet state="visible" name="Priorities" sheetId="11" r:id="rId15"/>
    <sheet state="visible" name="Agenda" sheetId="12" r:id="rId16"/>
    <sheet state="visible" name="Decisions" sheetId="13" r:id="rId17"/>
    <sheet state="visible" name="Highlights" sheetId="14" r:id="rId18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Formulas only — this is what the slides read (FIELDS[id].cell → Deck!…). Do NOT edit here — edit the model tabs and these update live. The 'Source — edit on' column (H) names the tab to change for each value. A few values compute to their TRUE figure and differ from the old hand-typed deck: EPS growth ≈34% (was 18%) and op-margin 300 bps (was 180 bps).</t>
      </text>
    </comment>
  </commentList>
</comments>
</file>

<file path=xl/comments10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Priority, owner, milestone, and status (On track / At risk / Behind). Entered.</t>
      </text>
    </comment>
  </commentList>
</comments>
</file>

<file path=xl/comments1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Meeting agenda — index, title, description, time. Entered.</t>
      </text>
    </comment>
  </commentList>
</comments>
</file>

<file path=xl/comments1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Decisions required and specific asks of the board (entered), plus the next-meeting line.</t>
      </text>
    </comment>
  </commentList>
</comments>
</file>

<file path=xl/comments1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Free-text inputs for the highlights slide. The metric values themselves are computed on the Deck tab from the model tabs.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Revenue by product, segment, and geography — three cuts of the same revenue.
White cells are entered (monthly raw). Q1–Q4 / FY, Total, and Share / Index columns are FORMULAS. Each Total ties to the P&amp;L revenue line.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Blocks top→bottom: (1) FY2026 Actual, (2) FY2026 Budget, (3) Actual − Budget variance, (4) FY2025 Actual.
White rows are entered (raw). Gross Profit, Total Operating Expenses, Operating Income, Pre-Tax, Net Income and the Q1–Q4 / FY columns are FORMULAS that recompute live.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Prior/Current pull from the P&amp;L (Q3 revenue). The five drivers are entered. Net Change and Check are formulas (Check should be 0 — the drivers fully explain the prior→current move).</t>
      </text>
    </comment>
  </commentLi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Uses of capital are entered. Total Capital Deployed, Share, Payout %, Free Cash Flow, EPS and EPS Growth are FORMULAS. Net Income pulls from the P&amp;L (Q3). CapEx is one figure — the capital-allocation CapEx (B6) references the cash-flow Total CapEx — Actual (B18 = $58M) so the two can never diverge.</t>
      </text>
    </comment>
  </commentLi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Current balances are DERIVED from prior balances + the period flows (cash from net change, debt from paydown, retained earnings from net income − dividends, PP&amp;E from CapEx − D&amp;A, treasury from buybacks). So Assets = Liabilities + Equity by construction. Debt-maturity buckets (rows 21–25) sum to Long-Term Debt.</t>
      </text>
    </comment>
  </commentList>
</comments>
</file>

<file path=xl/comments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White cells are entered (Current / Prior raw drivers). Net Revenue Retention, Customer Growth, Churn Rate and Pipeline Coverage are FORMULAS derived from them; the Current−Prior gap is the delta the deck shows.</t>
      </text>
    </comment>
  </commentList>
</comments>
</file>

<file path=xl/comments8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Forward-looking targets (entered). The cards feed the guidance slide; the footnote is the assumptions line.</t>
      </text>
    </comment>
  </commentList>
</comments>
</file>

<file path=xl/comments9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Top risks (with mitigation owner), plus Impact and Likelihood on a 0–2 scale (0 = low, 2 = high) that place each risk on the heat-map plot. Entered.</t>
      </text>
    </comment>
  </commentList>
</comments>
</file>

<file path=xl/sharedStrings.xml><?xml version="1.0" encoding="utf-8"?>
<sst xmlns="http://schemas.openxmlformats.org/spreadsheetml/2006/main" count="631" uniqueCount="328">
  <si>
    <t>Reporting period (footers/dividers)</t>
  </si>
  <si>
    <t>Q3 FY2026</t>
  </si>
  <si>
    <t>Cover — kicker line</t>
  </si>
  <si>
    <t>External · Custom Automated Financial Reporting</t>
  </si>
  <si>
    <t>Cover — company name</t>
  </si>
  <si>
    <t>OPS GS, LLC</t>
  </si>
  <si>
    <t>Cover — tagline</t>
  </si>
  <si>
    <t>The Operational Gold Standard</t>
  </si>
  <si>
    <t>Cover — contact line</t>
  </si>
  <si>
    <t>Tom@OpsGS.com   |   https://opsgs.vercel.app</t>
  </si>
  <si>
    <t>Section A divider subtitle</t>
  </si>
  <si>
    <t>Board of Directors  ·  Q3 FY2026</t>
  </si>
  <si>
    <t>Deck — Slide Read Surface</t>
  </si>
  <si>
    <t>HIGHLIGHTS</t>
  </si>
  <si>
    <t>Source — edit on:</t>
  </si>
  <si>
    <t>Total revenue</t>
  </si>
  <si>
    <t>P&amp;L Monthly (Revenue)</t>
  </si>
  <si>
    <t>YoY / QoQ</t>
  </si>
  <si>
    <t>Headline</t>
  </si>
  <si>
    <t>Highlights</t>
  </si>
  <si>
    <t>EPS (diluted)</t>
  </si>
  <si>
    <t>Capital &amp; Cash (shares) · P&amp;L (Net Income)</t>
  </si>
  <si>
    <t>Operating margin</t>
  </si>
  <si>
    <t>P&amp;L Monthly</t>
  </si>
  <si>
    <t>Free cash flow</t>
  </si>
  <si>
    <t>Capital &amp; Cash</t>
  </si>
  <si>
    <t>Capital returned</t>
  </si>
  <si>
    <t>P&amp;L (pnl.rows)</t>
  </si>
  <si>
    <t>P&amp;L Monthly — edit the monthly raw rows</t>
  </si>
  <si>
    <t>Revenue</t>
  </si>
  <si>
    <t>Cost of Revenue</t>
  </si>
  <si>
    <t>Gross Profit</t>
  </si>
  <si>
    <t>Operating Expenses</t>
  </si>
  <si>
    <t>Operating Income</t>
  </si>
  <si>
    <t>Interest &amp; Other</t>
  </si>
  <si>
    <t>Pre-Tax Income</t>
  </si>
  <si>
    <t>Income Taxes</t>
  </si>
  <si>
    <t>Net Income</t>
  </si>
  <si>
    <t>EPS reconciliation memo</t>
  </si>
  <si>
    <t>BUDGET VARIANCE (budget.rows)</t>
  </si>
  <si>
    <t>P&amp;L Monthly — variance block / monthly rows</t>
  </si>
  <si>
    <t>Operating Expense</t>
  </si>
  <si>
    <t>CapEx</t>
  </si>
  <si>
    <t>Budget footnote</t>
  </si>
  <si>
    <t>BRIDGE (bridge.steps)</t>
  </si>
  <si>
    <t>Bridge — drivers entered; endpoints pull from P&amp;L</t>
  </si>
  <si>
    <t>Prior Yr</t>
  </si>
  <si>
    <t>base</t>
  </si>
  <si>
    <t>Volume</t>
  </si>
  <si>
    <t>up</t>
  </si>
  <si>
    <t>Price</t>
  </si>
  <si>
    <t>Mix</t>
  </si>
  <si>
    <t>FX</t>
  </si>
  <si>
    <t>down</t>
  </si>
  <si>
    <t>Churn</t>
  </si>
  <si>
    <t>Current</t>
  </si>
  <si>
    <t>total</t>
  </si>
  <si>
    <t>Net change</t>
  </si>
  <si>
    <t>Narrative</t>
  </si>
  <si>
    <t>CAPITAL ALLOCATION</t>
  </si>
  <si>
    <t>Capital &amp; Cash — uses of capital</t>
  </si>
  <si>
    <t>Capital deployed (hero)</t>
  </si>
  <si>
    <t>Payout note</t>
  </si>
  <si>
    <t>SEGMENTS (segments.by_segment)</t>
  </si>
  <si>
    <t>Revenue Detail — segment block</t>
  </si>
  <si>
    <t>GEOGRAPHY (segments.by_geo)</t>
  </si>
  <si>
    <t>Revenue Detail — geography block</t>
  </si>
  <si>
    <t>PRODUCTS (prod.*)</t>
  </si>
  <si>
    <t>Revenue Detail — product blocks (actual &amp; budget)</t>
  </si>
  <si>
    <t>OPERATIONAL KPIs (ops.tiles)</t>
  </si>
  <si>
    <t>Operational — Current/Prior raw drivers</t>
  </si>
  <si>
    <t>Net revenue retention</t>
  </si>
  <si>
    <t>Customer count</t>
  </si>
  <si>
    <t>Churn rate</t>
  </si>
  <si>
    <t>NPS</t>
  </si>
  <si>
    <t>Pipeline coverage</t>
  </si>
  <si>
    <t>Headcount</t>
  </si>
  <si>
    <t>RISK (risk.list / risk.dots)</t>
  </si>
  <si>
    <t>Risk — risks, owner, impact/likelihood (0–2)</t>
  </si>
  <si>
    <t>Cloud cost inflation — CTO</t>
  </si>
  <si>
    <t>Talent attrition in R&amp;D — CHRO</t>
  </si>
  <si>
    <t>Regulatory change, data — General Counsel</t>
  </si>
  <si>
    <t>FX exposure, EMEA — CFO</t>
  </si>
  <si>
    <t>PRIORITIES (priorities.rows)</t>
  </si>
  <si>
    <t>Priorities</t>
  </si>
  <si>
    <t>A. Rivera</t>
  </si>
  <si>
    <t>GA by end of Q3</t>
  </si>
  <si>
    <t>On track</t>
  </si>
  <si>
    <t>Expand EMEA sales coverage</t>
  </si>
  <si>
    <t>M. Chen</t>
  </si>
  <si>
    <t>3 of 5 reps hired</t>
  </si>
  <si>
    <t>At risk</t>
  </si>
  <si>
    <t>Ship usage-based billing</t>
  </si>
  <si>
    <t>P. Okafor</t>
  </si>
  <si>
    <t>Beta with 10 accounts</t>
  </si>
  <si>
    <t>Reduce infra cost 15%</t>
  </si>
  <si>
    <t>S. Patel</t>
  </si>
  <si>
    <t>8% to date</t>
  </si>
  <si>
    <t>Behind</t>
  </si>
  <si>
    <t>Achieve SOC 2 Type II</t>
  </si>
  <si>
    <t>J. Kim</t>
  </si>
  <si>
    <t>Audit scheduled Q3</t>
  </si>
  <si>
    <t>AGENDA (agenda.items)</t>
  </si>
  <si>
    <t>Agenda</t>
  </si>
  <si>
    <t>Performance review</t>
  </si>
  <si>
    <t>Results vs. plan and prior year</t>
  </si>
  <si>
    <t>15 min</t>
  </si>
  <si>
    <t>02</t>
  </si>
  <si>
    <t>Strategic priorities</t>
  </si>
  <si>
    <t>Progress on key initiatives</t>
  </si>
  <si>
    <t>20 min</t>
  </si>
  <si>
    <t>03</t>
  </si>
  <si>
    <t>Risk &amp; compliance</t>
  </si>
  <si>
    <t>Top enterprise risks and mitigations</t>
  </si>
  <si>
    <t>04</t>
  </si>
  <si>
    <t>Decisions required</t>
  </si>
  <si>
    <t>Approvals and board input</t>
  </si>
  <si>
    <t>25 min</t>
  </si>
  <si>
    <t>DECISIONS (required / asks / next)</t>
  </si>
  <si>
    <t>Decisions</t>
  </si>
  <si>
    <t>Ratify appointment of the new Audit Committee chair.</t>
  </si>
  <si>
    <t>Board expertise on international expansion.</t>
  </si>
  <si>
    <t>Authorize a $50M share-buyback program.</t>
  </si>
  <si>
    <t>Referrals for the VP of Engineering search.</t>
  </si>
  <si>
    <t>Next meeting</t>
  </si>
  <si>
    <t>COVER / META</t>
  </si>
  <si>
    <t>Meta</t>
  </si>
  <si>
    <t>Period</t>
  </si>
  <si>
    <t>Cover kicker</t>
  </si>
  <si>
    <t>Company</t>
  </si>
  <si>
    <t>Tagline</t>
  </si>
  <si>
    <t>Contact</t>
  </si>
  <si>
    <t>Divider subtitle</t>
  </si>
  <si>
    <t>GUIDANCE (guidance.cards / footnote)</t>
  </si>
  <si>
    <t>Guidance</t>
  </si>
  <si>
    <t>$1.28–1.34B</t>
  </si>
  <si>
    <t>Revenue range</t>
  </si>
  <si>
    <t>12–16% growth</t>
  </si>
  <si>
    <t>FULL YEAR</t>
  </si>
  <si>
    <t>$5.1–5.3B</t>
  </si>
  <si>
    <t>Reaffirmed / raised</t>
  </si>
  <si>
    <t>MARGIN</t>
  </si>
  <si>
    <t>23–25%</t>
  </si>
  <si>
    <t>~150 bps expansion</t>
  </si>
  <si>
    <t>Guidance footnote</t>
  </si>
  <si>
    <t>CASH FLOW (cashflow.rows)</t>
  </si>
  <si>
    <t>Capital &amp; Cash — add-backs entered; subtotals ref the capital cells</t>
  </si>
  <si>
    <t>Depreciation &amp; Amortization</t>
  </si>
  <si>
    <t>Stock-Based Compensation</t>
  </si>
  <si>
    <t>Δ Working Capital</t>
  </si>
  <si>
    <t>Operating Cash Flow</t>
  </si>
  <si>
    <t>M&amp;A / Investments</t>
  </si>
  <si>
    <t>Investing Cash Flow</t>
  </si>
  <si>
    <t>Dividends</t>
  </si>
  <si>
    <t>Share Buybacks</t>
  </si>
  <si>
    <t>Debt Paydown</t>
  </si>
  <si>
    <t>Financing Cash Flow</t>
  </si>
  <si>
    <t>Net Change in Cash</t>
  </si>
  <si>
    <t>Free Cash Flow (OCF − CapEx)</t>
  </si>
  <si>
    <t>Cash flow summary (fcf note · net change)</t>
  </si>
  <si>
    <t>BALANCE SHEET (bs.rows)</t>
  </si>
  <si>
    <t>Balance Sheet — current derived from prior + flows</t>
  </si>
  <si>
    <t>Cash &amp; Equivalents</t>
  </si>
  <si>
    <t>Accounts Receivable</t>
  </si>
  <si>
    <t>Property &amp; Equipment, net</t>
  </si>
  <si>
    <t>Goodwill &amp; Intangibles</t>
  </si>
  <si>
    <t>Other Assets</t>
  </si>
  <si>
    <t>Total Assets</t>
  </si>
  <si>
    <t>Accounts Payable</t>
  </si>
  <si>
    <t>Other Liabilities</t>
  </si>
  <si>
    <t>Long-Term Debt</t>
  </si>
  <si>
    <t>Total Liabilities</t>
  </si>
  <si>
    <t>Common Stock &amp; APIC</t>
  </si>
  <si>
    <t>Retained Earnings</t>
  </si>
  <si>
    <t>Treasury Stock</t>
  </si>
  <si>
    <t>Total Equity</t>
  </si>
  <si>
    <t>Total Liabilities &amp; Equity</t>
  </si>
  <si>
    <t>Balance sheet summary</t>
  </si>
  <si>
    <t>Assets = Liabilities + Equity</t>
  </si>
  <si>
    <t>DEBT MATURITY (debtmat.bars)</t>
  </si>
  <si>
    <t>Balance Sheet — debt maturity buckets</t>
  </si>
  <si>
    <t>Debt maturity summary</t>
  </si>
  <si>
    <t>Revenue Detail ($M)</t>
  </si>
  <si>
    <t>Revenue by Product — FY2026 Actual (Jan–Sep)</t>
  </si>
  <si>
    <t>Category ($M)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</si>
  <si>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</si>
  <si>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</si>
  <si>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</si>
  <si>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</si>
  <si>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</si>
  <si>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</si>
  <si>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</si>
  <si>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</si>
  <si>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</si>
  <si>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</si>
  <si>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</si>
  <si>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</si>
  <si>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Q1</t>
  </si>
  <si>
    <t>Q2</t>
  </si>
  <si>
    <t>Q3</t>
  </si>
  <si>
    <t>Q4</t>
  </si>
  <si>
    <t>FY</t>
  </si>
  <si>
    <t>Ledger Cloud</t>
  </si>
  <si>
    <t>Insights Suite</t>
  </si>
  <si>
    <t>Connect API</t>
  </si>
  <si>
    <t>Workflow Studio</t>
  </si>
  <si>
    <t>Marketplace</t>
  </si>
  <si>
    <t>Advisory Services</t>
  </si>
  <si>
    <t>Total Revenue</t>
  </si>
  <si>
    <t>Revenue by Product — FY2026 Budget</t>
  </si>
  <si>
    <t>Total Revenue (Budget)</t>
  </si>
  <si>
    <t>Revenue by Segment — FY2026 Actual (Jan–Sep)</t>
  </si>
  <si>
    <t>Share</t>
  </si>
  <si>
    <t>Platform</t>
  </si>
  <si>
    <t>Services</t>
  </si>
  <si>
    <t>Data &amp; API</t>
  </si>
  <si>
    <t>Other</t>
  </si>
  <si>
    <t>Revenue by Geography — FY2026 Actual (Jan–Sep)</t>
  </si>
  <si>
    <t>Index (vs max)</t>
  </si>
  <si>
    <t>Americas</t>
  </si>
  <si>
    <t>EMEA</t>
  </si>
  <si>
    <t>APAC</t>
  </si>
  <si>
    <t>Income Statement — Monthly ($M)</t>
  </si>
  <si>
    <t>FY2026 — Actual  (Jan–Sep; Q4 not yet actual)</t>
  </si>
  <si>
    <t>Line Item ($M)</t>
  </si>
  <si>
    <t>Sales &amp; Marketing</t>
  </si>
  <si>
    <t>Research &amp; Development</t>
  </si>
  <si>
    <t>General &amp; Administrative</t>
  </si>
  <si>
    <t>Total Operating Expenses</t>
  </si>
  <si>
    <t>FY2026 — Budget</t>
  </si>
  <si>
    <t>FY2026 — Actual − Budget  (Variance; Jan–Sep, Q1–Q3)</t>
  </si>
  <si>
    <t>FY2025 — Actual</t>
  </si>
  <si>
    <t>Budget variance footnote</t>
  </si>
  <si>
    <t>Variances over 10% flagged for discussion. Green favorable · red unfavorable to budget.</t>
  </si>
  <si>
    <t>Revenue Bridge — Prior-Year Q3 → Current Q3 ($M)</t>
  </si>
  <si>
    <t>Step</t>
  </si>
  <si>
    <t>Value ($M)</t>
  </si>
  <si>
    <t>Type</t>
  </si>
  <si>
    <t>Prior Year</t>
  </si>
  <si>
    <t>Net Change (Current − Prior)</t>
  </si>
  <si>
    <t>Sum of Drivers</t>
  </si>
  <si>
    <t>Check (Net − Drivers, should be 0)</t>
  </si>
  <si>
    <t>Growth led by new-logo volume and pricing; partially offset by FX and churn. Drivers shown gross of intercompany.</t>
  </si>
  <si>
    <t>Capital &amp; Cash ($M)</t>
  </si>
  <si>
    <t>Use of Capital</t>
  </si>
  <si>
    <t>Amount ($M)</t>
  </si>
  <si>
    <t>M&amp;A / Investment</t>
  </si>
  <si>
    <t>Total Capital Deployed</t>
  </si>
  <si>
    <t>Returned to Shareholders (Dividends + Buybacks)</t>
  </si>
  <si>
    <t>Net Income — Q3 (from P&amp;L)</t>
  </si>
  <si>
    <t>Payout % of Net Income</t>
  </si>
  <si>
    <t>Cash Flow &amp; Per-Share</t>
  </si>
  <si>
    <t>Value</t>
  </si>
  <si>
    <t>Operating Cash Flow ($M)</t>
  </si>
  <si>
    <t>Total CapEx — Actual ($M)</t>
  </si>
  <si>
    <t>Total CapEx — Budget ($M)</t>
  </si>
  <si>
    <t>Diluted Shares (M)</t>
  </si>
  <si>
    <t>Prior-Yr Diluted Shares (M)</t>
  </si>
  <si>
    <t>Prior-Yr Net Income (from P&amp;L)</t>
  </si>
  <si>
    <t>Prior-Yr EPS</t>
  </si>
  <si>
    <t>EPS Growth (YoY)</t>
  </si>
  <si>
    <t>Prior-Yr Free Cash Flow ($M)</t>
  </si>
  <si>
    <t>FCF Growth (YoY)</t>
  </si>
  <si>
    <t>Cash Flow Statement — Q3 ($M)</t>
  </si>
  <si>
    <t>Investing Cash Flow (− CapEx − M&amp;A)</t>
  </si>
  <si>
    <t>Financing Cash Flow (− Div − Buyback − Debt)</t>
  </si>
  <si>
    <t>Net Change in Cash (OCF + Investing + Financing)</t>
  </si>
  <si>
    <t>Balance Sheet ($M)</t>
  </si>
  <si>
    <t>Prior</t>
  </si>
  <si>
    <t>Debt Maturity ($M)</t>
  </si>
  <si>
    <t>Principal Due</t>
  </si>
  <si>
    <t>FY2026</t>
  </si>
  <si>
    <t>FY2027</t>
  </si>
  <si>
    <t>FY2028</t>
  </si>
  <si>
    <t>FY2029</t>
  </si>
  <si>
    <t>FY2030+</t>
  </si>
  <si>
    <t>Total Debt (= Long-Term Debt)</t>
  </si>
  <si>
    <t>Weighted-Avg Maturity (yrs)</t>
  </si>
  <si>
    <t>Operational KPIs</t>
  </si>
  <si>
    <t>ARR Movement ($M)</t>
  </si>
  <si>
    <t>Beginning ARR</t>
  </si>
  <si>
    <t>+ Expansion</t>
  </si>
  <si>
    <t>− Contraction</t>
  </si>
  <si>
    <t>− Churned ARR</t>
  </si>
  <si>
    <t>Ending ARR</t>
  </si>
  <si>
    <t>Net Revenue Retention</t>
  </si>
  <si>
    <t>Customers</t>
  </si>
  <si>
    <t>Total Customers</t>
  </si>
  <si>
    <t>Churned Customers (qtr)</t>
  </si>
  <si>
    <t>Customer Growth (YoY)</t>
  </si>
  <si>
    <t>Churn Rate</t>
  </si>
  <si>
    <t>Pipeline &amp; Team</t>
  </si>
  <si>
    <t>Pipeline ($M)</t>
  </si>
  <si>
    <t>Bookings Target ($M)</t>
  </si>
  <si>
    <t>Pipeline Coverage</t>
  </si>
  <si>
    <t>Scope</t>
  </si>
  <si>
    <t>Sublabel</t>
  </si>
  <si>
    <t>Detail</t>
  </si>
  <si>
    <t>NEXT QUARTER</t>
  </si>
  <si>
    <t>Assumptions footnote</t>
  </si>
  <si>
    <t>Key assumptions: ~14% organic growth, stable FX, no major macro shock. Guidance excludes M&amp;A. Forward-looking statements subject to risks in our filings.</t>
  </si>
  <si>
    <t>Risk Heat Map</t>
  </si>
  <si>
    <t>#</t>
  </si>
  <si>
    <t>Top Risk (owner)</t>
  </si>
  <si>
    <t>Impact (0-2)</t>
  </si>
  <si>
    <t>Likelihood (0-2)</t>
  </si>
  <si>
    <t>Key-customer concentration — VP Sales</t>
  </si>
  <si>
    <t>Strategic Priorities</t>
  </si>
  <si>
    <t>Priority</t>
  </si>
  <si>
    <t>Owner</t>
  </si>
  <si>
    <t>Milestone</t>
  </si>
  <si>
    <t>Status</t>
  </si>
  <si>
    <t>Launch self-serve onboarding</t>
  </si>
  <si>
    <t>Item</t>
  </si>
  <si>
    <t>Description</t>
  </si>
  <si>
    <t>Time</t>
  </si>
  <si>
    <t>01</t>
  </si>
  <si>
    <t>Decisions &amp; Asks</t>
  </si>
  <si>
    <t>Decisions Required</t>
  </si>
  <si>
    <t>Specific Asks</t>
  </si>
  <si>
    <t>Approve $25M expansion of the EMEA go-to-market budget.</t>
  </si>
  <si>
    <t>Introductions to 2 enterprise logos in financial services.</t>
  </si>
  <si>
    <t>Next meeting: Oct 14  ·  Preview topics: FY26 plan, M&amp;A pipeline</t>
  </si>
  <si>
    <t>Highlights — narrative inputs</t>
  </si>
  <si>
    <t>Headline (one-line takeaway)</t>
  </si>
  <si>
    <t>Record revenue on broad-based demand; margins expanded and we are raising full-year guidance.</t>
  </si>
  <si>
    <t>Capital returned note</t>
  </si>
  <si>
    <t>Dividends + buyback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</si>
</sst>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0.0%"/>
    <numFmt numFmtId="165" formatCode="0.0"/>
    <numFmt numFmtId="166" formatCode="$0.00"/>
    <numFmt numFmtId="167" formatCode="0.0&quot;x&quot;"/>
  </numFmts>
  <fonts count="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i/>
      <color rgb="FF666666"/>
      <name val="Arial"/>
      <scheme val="minor"/>
    </font>
    <font>
      <b/>
      <i/>
      <color theme="1"/>
      <name val="Arial"/>
      <scheme val="minor"/>
    </font>
    <font>
      <i/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2" numFmtId="0" xfId="0" applyFont="1"/>
    <xf borderId="0" fillId="0" fontId="3" numFmtId="0" xfId="0" applyAlignment="1" applyFont="1">
      <alignment readingOrder="0" shrinkToFit="0" wrapText="1"/>
    </xf>
    <xf borderId="0" fillId="0" fontId="3" numFmtId="0" xfId="0" applyAlignment="1" applyFont="1">
      <alignment shrinkToFit="0" wrapText="1"/>
    </xf>
    <xf borderId="0" fillId="0" fontId="2" numFmtId="3" xfId="0" applyFont="1" applyNumberFormat="1"/>
    <xf borderId="0" fillId="0" fontId="2" numFmtId="9" xfId="0" applyFont="1" applyNumberFormat="1"/>
    <xf borderId="0" fillId="0" fontId="2" numFmtId="164" xfId="0" applyFont="1" applyNumberFormat="1"/>
    <xf borderId="0" fillId="0" fontId="2" numFmtId="2" xfId="0" applyFont="1" applyNumberFormat="1"/>
    <xf borderId="0" fillId="0" fontId="2" numFmtId="1" xfId="0" applyAlignment="1" applyFont="1" applyNumberFormat="1">
      <alignment readingOrder="0"/>
    </xf>
    <xf borderId="0" fillId="0" fontId="2" numFmtId="49" xfId="0" applyFont="1" applyNumberFormat="1"/>
    <xf borderId="0" fillId="0" fontId="1" numFmtId="0" xfId="0" applyFont="1"/>
    <xf borderId="0" fillId="0" fontId="4" numFmtId="0" xfId="0" applyFont="1"/>
    <xf borderId="0" fillId="0" fontId="4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5" numFmtId="0" xfId="0" applyFont="1"/>
    <xf borderId="0" fillId="0" fontId="1" numFmtId="164" xfId="0" applyAlignment="1" applyFont="1" applyNumberFormat="1">
      <alignment readingOrder="0"/>
    </xf>
    <xf borderId="0" fillId="0" fontId="1" numFmtId="164" xfId="0" applyFont="1" applyNumberFormat="1"/>
    <xf borderId="0" fillId="0" fontId="2" numFmtId="165" xfId="0" applyAlignment="1" applyFont="1" applyNumberFormat="1">
      <alignment readingOrder="0"/>
    </xf>
    <xf borderId="0" fillId="0" fontId="1" numFmtId="166" xfId="0" applyFont="1" applyNumberFormat="1"/>
    <xf borderId="0" fillId="0" fontId="2" numFmtId="166" xfId="0" applyFont="1" applyNumberFormat="1"/>
    <xf borderId="0" fillId="0" fontId="1" numFmtId="165" xfId="0" applyFont="1" applyNumberFormat="1"/>
    <xf quotePrefix="1" borderId="0" fillId="0" fontId="2" numFmtId="0" xfId="0" applyAlignment="1" applyFont="1">
      <alignment readingOrder="0"/>
    </xf>
    <xf borderId="0" fillId="0" fontId="1" numFmtId="9" xfId="0" applyFont="1" applyNumberFormat="1"/>
    <xf borderId="0" fillId="0" fontId="2" numFmtId="3" xfId="0" applyAlignment="1" applyFont="1" applyNumberFormat="1">
      <alignment readingOrder="0"/>
    </xf>
    <xf borderId="0" fillId="0" fontId="1" numFmtId="167" xfId="0" applyFont="1" applyNumberFormat="1"/>
    <xf borderId="0" fillId="0" fontId="2" numFmtId="0" xfId="0" applyAlignment="1" applyFont="1">
      <alignment readingOrder="0" shrinkToFit="0" wrapText="1"/>
    </xf>
    <xf borderId="0" fillId="0" fontId="2" numFmtId="49" xfId="0" applyAlignment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9.v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1.xml"/><Relationship Id="rId3" Type="http://schemas.openxmlformats.org/officeDocument/2006/relationships/vmlDrawing" Target="../drawings/vmlDrawing10.v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1.v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drawing" Target="../drawings/drawing13.xml"/><Relationship Id="rId3" Type="http://schemas.openxmlformats.org/officeDocument/2006/relationships/vmlDrawing" Target="../drawings/vmlDrawing12.v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drawing" Target="../drawings/drawing14.xml"/><Relationship Id="rId3" Type="http://schemas.openxmlformats.org/officeDocument/2006/relationships/vmlDrawing" Target="../drawings/vmlDrawing13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3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4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5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6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7.v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0.13"/>
    <col customWidth="1" min="2" max="2" width="36.38"/>
  </cols>
  <sheetData>
    <row r="1">
      <c r="A1" s="1" t="s">
        <v>0</v>
      </c>
      <c r="B1" s="2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63"/>
    <col customWidth="1" min="2" max="2" width="32.13"/>
    <col customWidth="1" min="3" max="3" width="10.0"/>
    <col customWidth="1" min="4" max="4" width="12.5"/>
  </cols>
  <sheetData>
    <row r="1">
      <c r="A1" s="1" t="s">
        <v>301</v>
      </c>
    </row>
    <row r="3">
      <c r="A3" s="1" t="s">
        <v>302</v>
      </c>
      <c r="B3" s="1" t="s">
        <v>303</v>
      </c>
      <c r="C3" s="1" t="s">
        <v>304</v>
      </c>
      <c r="D3" s="1" t="s">
        <v>305</v>
      </c>
    </row>
    <row r="4">
      <c r="A4" s="2">
        <v>1.0</v>
      </c>
      <c r="B4" s="2" t="s">
        <v>306</v>
      </c>
      <c r="C4" s="15">
        <v>2.0</v>
      </c>
      <c r="D4" s="15">
        <v>2.0</v>
      </c>
    </row>
    <row r="5">
      <c r="A5" s="2">
        <v>2.0</v>
      </c>
      <c r="B5" s="2" t="s">
        <v>79</v>
      </c>
      <c r="C5" s="15">
        <v>1.0</v>
      </c>
      <c r="D5" s="15">
        <v>2.0</v>
      </c>
    </row>
    <row r="6">
      <c r="A6" s="2">
        <v>3.0</v>
      </c>
      <c r="B6" s="2" t="s">
        <v>80</v>
      </c>
      <c r="C6" s="15">
        <v>0.0</v>
      </c>
      <c r="D6" s="15">
        <v>1.0</v>
      </c>
    </row>
    <row r="7">
      <c r="A7" s="2">
        <v>4.0</v>
      </c>
      <c r="B7" s="2" t="s">
        <v>81</v>
      </c>
      <c r="C7" s="15">
        <v>2.0</v>
      </c>
      <c r="D7" s="15">
        <v>0.0</v>
      </c>
    </row>
    <row r="8">
      <c r="A8" s="2">
        <v>5.0</v>
      </c>
      <c r="B8" s="2" t="s">
        <v>82</v>
      </c>
      <c r="C8" s="15">
        <v>1.0</v>
      </c>
      <c r="D8" s="15">
        <v>1.0</v>
      </c>
    </row>
  </sheetData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7.63"/>
    <col customWidth="1" min="2" max="2" width="7.38"/>
    <col customWidth="1" min="3" max="3" width="17.0"/>
    <col customWidth="1" min="4" max="4" width="7.0"/>
  </cols>
  <sheetData>
    <row r="1">
      <c r="A1" s="1" t="s">
        <v>307</v>
      </c>
    </row>
    <row r="3">
      <c r="A3" s="1" t="s">
        <v>308</v>
      </c>
      <c r="B3" s="1" t="s">
        <v>309</v>
      </c>
      <c r="C3" s="1" t="s">
        <v>310</v>
      </c>
      <c r="D3" s="1" t="s">
        <v>311</v>
      </c>
    </row>
    <row r="4">
      <c r="A4" s="2" t="s">
        <v>312</v>
      </c>
      <c r="B4" s="2" t="s">
        <v>85</v>
      </c>
      <c r="C4" s="2" t="s">
        <v>86</v>
      </c>
      <c r="D4" s="2" t="s">
        <v>87</v>
      </c>
    </row>
    <row r="5">
      <c r="A5" s="2" t="s">
        <v>88</v>
      </c>
      <c r="B5" s="2" t="s">
        <v>89</v>
      </c>
      <c r="C5" s="2" t="s">
        <v>90</v>
      </c>
      <c r="D5" s="2" t="s">
        <v>91</v>
      </c>
    </row>
    <row r="6">
      <c r="A6" s="2" t="s">
        <v>92</v>
      </c>
      <c r="B6" s="2" t="s">
        <v>93</v>
      </c>
      <c r="C6" s="2" t="s">
        <v>94</v>
      </c>
      <c r="D6" s="2" t="s">
        <v>87</v>
      </c>
    </row>
    <row r="7">
      <c r="A7" s="2" t="s">
        <v>95</v>
      </c>
      <c r="B7" s="2" t="s">
        <v>96</v>
      </c>
      <c r="C7" s="2" t="s">
        <v>97</v>
      </c>
      <c r="D7" s="2" t="s">
        <v>98</v>
      </c>
    </row>
    <row r="8">
      <c r="A8" s="2" t="s">
        <v>99</v>
      </c>
      <c r="B8" s="2" t="s">
        <v>100</v>
      </c>
      <c r="C8" s="2" t="s">
        <v>101</v>
      </c>
      <c r="D8" s="2" t="s">
        <v>87</v>
      </c>
    </row>
  </sheetData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63"/>
    <col customWidth="1" min="2" max="2" width="15.38"/>
    <col customWidth="1" min="3" max="3" width="26.75"/>
    <col customWidth="1" min="4" max="4" width="5.88"/>
  </cols>
  <sheetData>
    <row r="1">
      <c r="A1" s="1" t="s">
        <v>103</v>
      </c>
    </row>
    <row r="3">
      <c r="A3" s="1" t="s">
        <v>302</v>
      </c>
      <c r="B3" s="1" t="s">
        <v>313</v>
      </c>
      <c r="C3" s="1" t="s">
        <v>314</v>
      </c>
      <c r="D3" s="1" t="s">
        <v>315</v>
      </c>
    </row>
    <row r="4">
      <c r="A4" s="28" t="s">
        <v>316</v>
      </c>
      <c r="B4" s="2" t="s">
        <v>104</v>
      </c>
      <c r="C4" s="2" t="s">
        <v>105</v>
      </c>
      <c r="D4" s="2" t="s">
        <v>106</v>
      </c>
    </row>
    <row r="5">
      <c r="A5" s="28" t="s">
        <v>107</v>
      </c>
      <c r="B5" s="2" t="s">
        <v>108</v>
      </c>
      <c r="C5" s="2" t="s">
        <v>109</v>
      </c>
      <c r="D5" s="2" t="s">
        <v>110</v>
      </c>
    </row>
    <row r="6">
      <c r="A6" s="28" t="s">
        <v>111</v>
      </c>
      <c r="B6" s="2" t="s">
        <v>112</v>
      </c>
      <c r="C6" s="2" t="s">
        <v>113</v>
      </c>
      <c r="D6" s="2" t="s">
        <v>106</v>
      </c>
    </row>
    <row r="7">
      <c r="A7" s="28" t="s">
        <v>114</v>
      </c>
      <c r="B7" s="2" t="s">
        <v>115</v>
      </c>
      <c r="C7" s="2" t="s">
        <v>116</v>
      </c>
      <c r="D7" s="2" t="s">
        <v>117</v>
      </c>
    </row>
  </sheetData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2.63"/>
    <col customWidth="1" min="3" max="3" width="40.75"/>
  </cols>
  <sheetData>
    <row r="1">
      <c r="A1" s="1" t="s">
        <v>317</v>
      </c>
    </row>
    <row r="3">
      <c r="A3" s="1" t="s">
        <v>318</v>
      </c>
      <c r="C3" s="1" t="s">
        <v>319</v>
      </c>
    </row>
    <row r="4">
      <c r="A4" s="27" t="s">
        <v>320</v>
      </c>
      <c r="C4" s="27" t="s">
        <v>321</v>
      </c>
    </row>
    <row r="5">
      <c r="A5" s="27" t="s">
        <v>120</v>
      </c>
      <c r="C5" s="27" t="s">
        <v>121</v>
      </c>
    </row>
    <row r="6">
      <c r="A6" s="27" t="s">
        <v>122</v>
      </c>
      <c r="C6" s="27" t="s">
        <v>123</v>
      </c>
    </row>
    <row r="8">
      <c r="A8" s="1" t="s">
        <v>124</v>
      </c>
    </row>
    <row r="9">
      <c r="A9" s="27" t="s">
        <v>322</v>
      </c>
    </row>
  </sheetData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0.13"/>
    <col customWidth="1" min="2" max="2" width="42.63"/>
  </cols>
  <sheetData>
    <row r="1">
      <c r="A1" s="1" t="s">
        <v>323</v>
      </c>
    </row>
    <row r="2">
      <c r="A2" s="1" t="s">
        <v>324</v>
      </c>
      <c r="B2" s="27" t="s">
        <v>325</v>
      </c>
    </row>
    <row r="3">
      <c r="A3" s="1" t="s">
        <v>326</v>
      </c>
      <c r="B3" s="27" t="s">
        <v>327</v>
      </c>
    </row>
  </sheetData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0.13"/>
    <col customWidth="1" min="2" max="2" width="42.63"/>
    <col customWidth="1" min="3" max="3" width="15.75"/>
    <col customWidth="1" min="4" max="4" width="40.75"/>
    <col customWidth="1" min="5" max="5" width="15.63"/>
    <col customWidth="1" min="6" max="6" width="6.25"/>
    <col customWidth="1" min="8" max="8" width="42.63"/>
  </cols>
  <sheetData>
    <row r="1">
      <c r="A1" s="1" t="s">
        <v>12</v>
      </c>
    </row>
    <row r="3">
      <c r="A3" s="1" t="s">
        <v>13</v>
      </c>
      <c r="H3" s="1" t="s">
        <v>14</v>
      </c>
    </row>
    <row r="4">
      <c r="A4" s="2" t="s">
        <v>15</v>
      </c>
      <c r="B4" s="3" t="str">
        <f>"$"&amp;TEXT('P&amp;L Monthly'!P5/1000,"0.00")&amp;"B"</f>
        <v>$1.24B</v>
      </c>
      <c r="H4" s="4" t="s">
        <v>16</v>
      </c>
    </row>
    <row r="5">
      <c r="A5" s="2" t="s">
        <v>17</v>
      </c>
      <c r="B5" s="3" t="str">
        <f>"▲ "&amp;TEXT('P&amp;L Monthly'!P5/'P&amp;L Monthly'!P50-1,"0.0%")&amp;" YoY    ·    ▲ "&amp;TEXT('P&amp;L Monthly'!P5/'P&amp;L Monthly'!O5-1,"0.0%")&amp;" QoQ"</f>
        <v>▲ 14.8% YoY    ·    ▲ 2.9% QoQ</v>
      </c>
      <c r="H5" s="4" t="s">
        <v>16</v>
      </c>
    </row>
    <row r="6">
      <c r="A6" s="2" t="s">
        <v>18</v>
      </c>
      <c r="B6" s="3" t="str">
        <f>Highlights!B2</f>
        <v>Record revenue on broad-based demand; margins expanded and we are raising full-year guidance.</v>
      </c>
      <c r="H6" s="4" t="s">
        <v>19</v>
      </c>
    </row>
    <row r="7">
      <c r="A7" s="2" t="s">
        <v>20</v>
      </c>
      <c r="B7" s="3" t="str">
        <f>"$"&amp;TEXT('Capital &amp; Cash'!B23,"0.00")</f>
        <v>$2.41</v>
      </c>
      <c r="C7" s="3" t="str">
        <f>"▲ "&amp;TEXT('Capital &amp; Cash'!B27,"0%")&amp;" YoY"</f>
        <v>▲ 34% YoY</v>
      </c>
      <c r="H7" s="4" t="s">
        <v>21</v>
      </c>
    </row>
    <row r="8">
      <c r="A8" s="2" t="s">
        <v>22</v>
      </c>
      <c r="B8" s="3" t="str">
        <f>TEXT('P&amp;L Monthly'!P12/'P&amp;L Monthly'!P5,"0.0%")</f>
        <v>23.4%</v>
      </c>
      <c r="C8" s="3" t="str">
        <f>"▲ "&amp;TEXT((ROUND('P&amp;L Monthly'!P12/'P&amp;L Monthly'!P5*100,1)-ROUND('P&amp;L Monthly'!P57/'P&amp;L Monthly'!P50*100,1))*100,"0")&amp;" bps"</f>
        <v>▲ 300 bps</v>
      </c>
      <c r="H8" s="4" t="s">
        <v>23</v>
      </c>
    </row>
    <row r="9">
      <c r="A9" s="2" t="s">
        <v>24</v>
      </c>
      <c r="B9" s="3" t="str">
        <f>"$"&amp;TEXT('Capital &amp; Cash'!B20,"0")&amp;"M"</f>
        <v>$258M</v>
      </c>
      <c r="C9" s="3" t="str">
        <f>"▲ "&amp;TEXT('Capital &amp; Cash'!B29,"0%")&amp;" YoY"</f>
        <v>▲ 14% YoY</v>
      </c>
      <c r="H9" s="4" t="s">
        <v>25</v>
      </c>
    </row>
    <row r="10">
      <c r="A10" s="2" t="s">
        <v>26</v>
      </c>
      <c r="B10" s="3" t="str">
        <f>"$"&amp;TEXT('Capital &amp; Cash'!B11,"0")&amp;"M"</f>
        <v>$137M</v>
      </c>
      <c r="C10" s="3" t="str">
        <f>Highlights!B3</f>
        <v>Dividends + buyback</v>
      </c>
      <c r="H10" s="4" t="s">
        <v>25</v>
      </c>
    </row>
    <row r="11">
      <c r="H11" s="5"/>
    </row>
    <row r="12">
      <c r="A12" s="1" t="s">
        <v>27</v>
      </c>
      <c r="H12" s="4" t="s">
        <v>28</v>
      </c>
    </row>
    <row r="13">
      <c r="B13" s="2" t="s">
        <v>29</v>
      </c>
      <c r="C13" s="3" t="str">
        <f>TEXT('P&amp;L Monthly'!P5,"#,##0")</f>
        <v>1,240</v>
      </c>
      <c r="D13" s="3" t="str">
        <f>TEXT('P&amp;L Monthly'!O5,"#,##0")</f>
        <v>1,205</v>
      </c>
      <c r="E13" s="3" t="str">
        <f>TEXT('P&amp;L Monthly'!P50,"#,##0")</f>
        <v>1,080</v>
      </c>
      <c r="F13" s="3" t="str">
        <f>TEXT('P&amp;L Monthly'!P5/'P&amp;L Monthly'!P50-1,"+0.0%;-0.0%")</f>
        <v>+14.8%</v>
      </c>
      <c r="H13" s="5"/>
    </row>
    <row r="14">
      <c r="B14" s="2" t="s">
        <v>30</v>
      </c>
      <c r="C14" s="3" t="str">
        <f>"("&amp;TEXT('P&amp;L Monthly'!P6,"#,##0")&amp;")"</f>
        <v>(520)</v>
      </c>
      <c r="D14" s="3" t="str">
        <f>"("&amp;TEXT('P&amp;L Monthly'!O6,"#,##0")&amp;")"</f>
        <v>(510)</v>
      </c>
      <c r="E14" s="3" t="str">
        <f>"("&amp;TEXT('P&amp;L Monthly'!P51,"#,##0")&amp;")"</f>
        <v>(470)</v>
      </c>
      <c r="F14" s="3" t="str">
        <f>TEXT('P&amp;L Monthly'!P6/'P&amp;L Monthly'!P51-1,"+0.0%;-0.0%")</f>
        <v>+10.6%</v>
      </c>
      <c r="H14" s="5"/>
    </row>
    <row r="15">
      <c r="B15" s="2" t="s">
        <v>31</v>
      </c>
      <c r="C15" s="3" t="str">
        <f>TEXT('P&amp;L Monthly'!P7,"#,##0")</f>
        <v>720</v>
      </c>
      <c r="D15" s="3" t="str">
        <f>TEXT('P&amp;L Monthly'!O7,"#,##0")</f>
        <v>695</v>
      </c>
      <c r="E15" s="3" t="str">
        <f>TEXT('P&amp;L Monthly'!P52,"#,##0")</f>
        <v>610</v>
      </c>
      <c r="F15" s="3" t="str">
        <f>TEXT('P&amp;L Monthly'!P7/'P&amp;L Monthly'!P52-1,"+0.0%;-0.0%")</f>
        <v>+18.0%</v>
      </c>
      <c r="H15" s="5"/>
    </row>
    <row r="16">
      <c r="B16" s="2" t="s">
        <v>32</v>
      </c>
      <c r="C16" s="3" t="str">
        <f>"("&amp;TEXT('P&amp;L Monthly'!P11,"#,##0")&amp;")"</f>
        <v>(430)</v>
      </c>
      <c r="D16" s="3" t="str">
        <f>"("&amp;TEXT('P&amp;L Monthly'!O11,"#,##0")&amp;")"</f>
        <v>(420)</v>
      </c>
      <c r="E16" s="3" t="str">
        <f>"("&amp;TEXT('P&amp;L Monthly'!P56,"#,##0")&amp;")"</f>
        <v>(390)</v>
      </c>
      <c r="F16" s="3" t="str">
        <f>TEXT('P&amp;L Monthly'!P11/'P&amp;L Monthly'!P56-1,"+0.0%;-0.0%")</f>
        <v>+10.3%</v>
      </c>
      <c r="H16" s="5"/>
    </row>
    <row r="17">
      <c r="B17" s="2" t="s">
        <v>33</v>
      </c>
      <c r="C17" s="3" t="str">
        <f>TEXT('P&amp;L Monthly'!P12,"#,##0")</f>
        <v>290</v>
      </c>
      <c r="D17" s="3" t="str">
        <f>TEXT('P&amp;L Monthly'!O12,"#,##0")</f>
        <v>275</v>
      </c>
      <c r="E17" s="3" t="str">
        <f>TEXT('P&amp;L Monthly'!P57,"#,##0")</f>
        <v>220</v>
      </c>
      <c r="F17" s="3" t="str">
        <f>TEXT('P&amp;L Monthly'!P12/'P&amp;L Monthly'!P57-1,"+0.0%;-0.0%")</f>
        <v>+31.8%</v>
      </c>
      <c r="H17" s="5"/>
    </row>
    <row r="18">
      <c r="B18" s="2" t="s">
        <v>34</v>
      </c>
      <c r="C18" s="3" t="str">
        <f>"("&amp;TEXT('P&amp;L Monthly'!P13,"#,##0")&amp;")"</f>
        <v>(18)</v>
      </c>
      <c r="D18" s="3" t="str">
        <f>"("&amp;TEXT('P&amp;L Monthly'!O13,"#,##0")&amp;")"</f>
        <v>(17)</v>
      </c>
      <c r="E18" s="3" t="str">
        <f>"("&amp;TEXT('P&amp;L Monthly'!P58,"#,##0")&amp;")"</f>
        <v>(15)</v>
      </c>
      <c r="F18" s="3" t="str">
        <f>TEXT('P&amp;L Monthly'!P13/'P&amp;L Monthly'!P58-1,"+0.0%;-0.0%")</f>
        <v>+20.0%</v>
      </c>
      <c r="H18" s="5"/>
    </row>
    <row r="19">
      <c r="B19" s="2" t="s">
        <v>35</v>
      </c>
      <c r="C19" s="3" t="str">
        <f>TEXT('P&amp;L Monthly'!P14,"#,##0")</f>
        <v>272</v>
      </c>
      <c r="D19" s="3" t="str">
        <f>TEXT('P&amp;L Monthly'!O14,"#,##0")</f>
        <v>258</v>
      </c>
      <c r="E19" s="3" t="str">
        <f>TEXT('P&amp;L Monthly'!P59,"#,##0")</f>
        <v>205</v>
      </c>
      <c r="F19" s="3" t="str">
        <f>TEXT('P&amp;L Monthly'!P14/'P&amp;L Monthly'!P59-1,"+0.0%;-0.0%")</f>
        <v>+32.7%</v>
      </c>
      <c r="H19" s="5"/>
    </row>
    <row r="20">
      <c r="B20" s="2" t="s">
        <v>36</v>
      </c>
      <c r="C20" s="3" t="str">
        <f>"("&amp;TEXT('P&amp;L Monthly'!P15,"#,##0")&amp;")"</f>
        <v>(60)</v>
      </c>
      <c r="D20" s="3" t="str">
        <f>"("&amp;TEXT('P&amp;L Monthly'!O15,"#,##0")&amp;")"</f>
        <v>(57)</v>
      </c>
      <c r="E20" s="3" t="str">
        <f>"("&amp;TEXT('P&amp;L Monthly'!P60,"#,##0")&amp;")"</f>
        <v>(45)</v>
      </c>
      <c r="F20" s="3" t="str">
        <f>TEXT('P&amp;L Monthly'!P15/'P&amp;L Monthly'!P60-1,"+0.0%;-0.0%")</f>
        <v>+33.3%</v>
      </c>
      <c r="H20" s="5"/>
    </row>
    <row r="21">
      <c r="B21" s="2" t="s">
        <v>37</v>
      </c>
      <c r="C21" s="3" t="str">
        <f>TEXT('P&amp;L Monthly'!P16,"#,##0")</f>
        <v>212</v>
      </c>
      <c r="D21" s="3" t="str">
        <f>TEXT('P&amp;L Monthly'!O16,"#,##0")</f>
        <v>201</v>
      </c>
      <c r="E21" s="3" t="str">
        <f>TEXT('P&amp;L Monthly'!P61,"#,##0")</f>
        <v>160</v>
      </c>
      <c r="F21" s="3" t="str">
        <f>TEXT('P&amp;L Monthly'!P16/'P&amp;L Monthly'!P61-1,"+0.0%;-0.0%")</f>
        <v>+32.5%</v>
      </c>
      <c r="H21" s="5"/>
    </row>
    <row r="22">
      <c r="A22" s="2" t="s">
        <v>38</v>
      </c>
      <c r="B22" s="3" t="str">
        <f>"Diluted EPS $"&amp;TEXT('Capital &amp; Cash'!B23,"0.00")&amp;" on "&amp;TEXT('Capital &amp; Cash'!B21,"0.0")&amp;"M sh vs $"&amp;TEXT('Capital &amp; Cash'!B26,"0.00")&amp;" on "&amp;TEXT('Capital &amp; Cash'!B24,"0.0")&amp;"M prior — EPS "&amp;TEXT('Capital &amp; Cash'!B27,"+0%")&amp;" vs net income "&amp;TEXT('P&amp;L Monthly'!P16/'P&amp;L Monthly'!P61-1,"+0.0%")&amp;" (buybacks)."</f>
        <v>Diluted EPS $2.41 on 88.0M sh vs $1.80 on 89.0M prior — EPS +34% vs net income +32.5% (buybacks).</v>
      </c>
      <c r="H22" s="5"/>
    </row>
    <row r="23">
      <c r="A23" s="1" t="s">
        <v>39</v>
      </c>
      <c r="H23" s="4" t="s">
        <v>40</v>
      </c>
    </row>
    <row r="24">
      <c r="B24" s="2" t="s">
        <v>29</v>
      </c>
      <c r="C24" s="3" t="str">
        <f>TEXT('P&amp;L Monthly'!P5,"#,##0")</f>
        <v>1,240</v>
      </c>
      <c r="D24" s="3" t="str">
        <f>TEXT('P&amp;L Monthly'!P20,"#,##0")</f>
        <v>1,200</v>
      </c>
      <c r="E24" s="3" t="str">
        <f>TEXT('P&amp;L Monthly'!P5-'P&amp;L Monthly'!P20,"+#,##0;(#,##0)")</f>
        <v>+40</v>
      </c>
      <c r="F24" s="3" t="str">
        <f>TEXT(('P&amp;L Monthly'!P5-'P&amp;L Monthly'!P20)/'P&amp;L Monthly'!P20,"+0.0%;(0.0%)")</f>
        <v>+3.3%</v>
      </c>
      <c r="H24" s="5"/>
    </row>
    <row r="25">
      <c r="B25" s="2" t="s">
        <v>31</v>
      </c>
      <c r="C25" s="3" t="str">
        <f>TEXT('P&amp;L Monthly'!P7,"#,##0")</f>
        <v>720</v>
      </c>
      <c r="D25" s="3" t="str">
        <f>TEXT('P&amp;L Monthly'!P22,"#,##0")</f>
        <v>700</v>
      </c>
      <c r="E25" s="3" t="str">
        <f>TEXT('P&amp;L Monthly'!P7-'P&amp;L Monthly'!P22,"+#,##0;(#,##0)")</f>
        <v>+20</v>
      </c>
      <c r="F25" s="3" t="str">
        <f>TEXT(('P&amp;L Monthly'!P7-'P&amp;L Monthly'!P22)/'P&amp;L Monthly'!P22,"+0.0%;(0.0%)")</f>
        <v>+2.9%</v>
      </c>
      <c r="H25" s="5"/>
    </row>
    <row r="26">
      <c r="B26" s="2" t="s">
        <v>41</v>
      </c>
      <c r="C26" s="3" t="str">
        <f>TEXT('P&amp;L Monthly'!P11,"#,##0")</f>
        <v>430</v>
      </c>
      <c r="D26" s="3" t="str">
        <f>TEXT('P&amp;L Monthly'!P26,"#,##0")</f>
        <v>445</v>
      </c>
      <c r="E26" s="3" t="str">
        <f>TEXT('P&amp;L Monthly'!P11-'P&amp;L Monthly'!P26,"+#,##0;(#,##0)")</f>
        <v>(15)</v>
      </c>
      <c r="F26" s="3" t="str">
        <f>TEXT(('P&amp;L Monthly'!P11-'P&amp;L Monthly'!P26)/'P&amp;L Monthly'!P26,"+0.0%;(0.0%)")</f>
        <v>(3.4%)</v>
      </c>
      <c r="H26" s="5"/>
    </row>
    <row r="27">
      <c r="B27" s="2" t="s">
        <v>33</v>
      </c>
      <c r="C27" s="3" t="str">
        <f>TEXT('P&amp;L Monthly'!P12,"#,##0")</f>
        <v>290</v>
      </c>
      <c r="D27" s="3" t="str">
        <f>TEXT('P&amp;L Monthly'!P27,"#,##0")</f>
        <v>255</v>
      </c>
      <c r="E27" s="3" t="str">
        <f>TEXT('P&amp;L Monthly'!P12-'P&amp;L Monthly'!P27,"+#,##0;(#,##0)")</f>
        <v>+35</v>
      </c>
      <c r="F27" s="3" t="str">
        <f>TEXT(('P&amp;L Monthly'!P12-'P&amp;L Monthly'!P27)/'P&amp;L Monthly'!P27,"+0.0%;(0.0%)")</f>
        <v>+13.7%</v>
      </c>
      <c r="H27" s="5"/>
    </row>
    <row r="28">
      <c r="B28" s="2" t="s">
        <v>37</v>
      </c>
      <c r="C28" s="3" t="str">
        <f>TEXT('P&amp;L Monthly'!P16,"#,##0")</f>
        <v>212</v>
      </c>
      <c r="D28" s="3" t="str">
        <f>TEXT('P&amp;L Monthly'!P31,"#,##0")</f>
        <v>188</v>
      </c>
      <c r="E28" s="3" t="str">
        <f>TEXT('P&amp;L Monthly'!P16-'P&amp;L Monthly'!P31,"+#,##0;(#,##0)")</f>
        <v>+24</v>
      </c>
      <c r="F28" s="3" t="str">
        <f>TEXT(('P&amp;L Monthly'!P16-'P&amp;L Monthly'!P31)/'P&amp;L Monthly'!P31,"+0.0%;(0.0%)")</f>
        <v>+12.8%</v>
      </c>
      <c r="H28" s="5"/>
    </row>
    <row r="29">
      <c r="B29" s="2" t="s">
        <v>42</v>
      </c>
      <c r="C29" s="3" t="str">
        <f>TEXT('Capital &amp; Cash'!B18,"#,##0")</f>
        <v>58</v>
      </c>
      <c r="D29" s="3" t="str">
        <f>TEXT('Capital &amp; Cash'!B19,"#,##0")</f>
        <v>60</v>
      </c>
      <c r="E29" s="3" t="str">
        <f>TEXT('Capital &amp; Cash'!B18-'Capital &amp; Cash'!B19,"+#,##0;(#,##0)")</f>
        <v>(2)</v>
      </c>
      <c r="F29" s="3" t="str">
        <f>TEXT(('Capital &amp; Cash'!B18-'Capital &amp; Cash'!B19)/'Capital &amp; Cash'!B19,"+0.0%;(0.0%)")</f>
        <v>(3.3%)</v>
      </c>
      <c r="H29" s="5"/>
    </row>
    <row r="30">
      <c r="H30" s="5"/>
    </row>
    <row r="31">
      <c r="A31" s="2" t="s">
        <v>43</v>
      </c>
      <c r="B31" s="3" t="str">
        <f>'P&amp;L Monthly'!B63</f>
        <v>Variances over 10% flagged for discussion. Green favorable · red unfavorable to budget.</v>
      </c>
      <c r="H31" s="5"/>
    </row>
    <row r="32">
      <c r="H32" s="5"/>
    </row>
    <row r="33">
      <c r="A33" s="1" t="s">
        <v>44</v>
      </c>
      <c r="H33" s="4" t="s">
        <v>45</v>
      </c>
    </row>
    <row r="34">
      <c r="B34" s="2" t="s">
        <v>46</v>
      </c>
      <c r="C34" s="6">
        <f>Bridge!B3</f>
        <v>1080</v>
      </c>
      <c r="D34" s="2" t="s">
        <v>47</v>
      </c>
      <c r="H34" s="5"/>
    </row>
    <row r="35">
      <c r="B35" s="2" t="s">
        <v>48</v>
      </c>
      <c r="C35" s="6">
        <f>Bridge!B4</f>
        <v>110</v>
      </c>
      <c r="D35" s="2" t="s">
        <v>49</v>
      </c>
      <c r="H35" s="5"/>
    </row>
    <row r="36">
      <c r="B36" s="2" t="s">
        <v>50</v>
      </c>
      <c r="C36" s="6">
        <f>Bridge!B5</f>
        <v>70</v>
      </c>
      <c r="D36" s="2" t="s">
        <v>49</v>
      </c>
      <c r="H36" s="5"/>
    </row>
    <row r="37">
      <c r="B37" s="2" t="s">
        <v>51</v>
      </c>
      <c r="C37" s="6">
        <f>Bridge!B6</f>
        <v>30</v>
      </c>
      <c r="D37" s="2" t="s">
        <v>49</v>
      </c>
      <c r="H37" s="5"/>
    </row>
    <row r="38">
      <c r="B38" s="2" t="s">
        <v>52</v>
      </c>
      <c r="C38" s="6">
        <f>Bridge!B7</f>
        <v>-34</v>
      </c>
      <c r="D38" s="2" t="s">
        <v>53</v>
      </c>
      <c r="H38" s="5"/>
    </row>
    <row r="39">
      <c r="B39" s="2" t="s">
        <v>54</v>
      </c>
      <c r="C39" s="6">
        <f>Bridge!B8</f>
        <v>-16</v>
      </c>
      <c r="D39" s="2" t="s">
        <v>53</v>
      </c>
      <c r="H39" s="5"/>
    </row>
    <row r="40">
      <c r="B40" s="2" t="s">
        <v>55</v>
      </c>
      <c r="C40" s="6">
        <f>Bridge!B9</f>
        <v>1240</v>
      </c>
      <c r="D40" s="2" t="s">
        <v>56</v>
      </c>
      <c r="H40" s="5"/>
    </row>
    <row r="41">
      <c r="H41" s="5"/>
    </row>
    <row r="42">
      <c r="A42" s="2" t="s">
        <v>57</v>
      </c>
      <c r="B42" s="3" t="str">
        <f>"+$"&amp;TEXT(Bridge!B11,"0")&amp;"M"</f>
        <v>+$160M</v>
      </c>
      <c r="H42" s="5"/>
    </row>
    <row r="43">
      <c r="A43" s="2" t="s">
        <v>58</v>
      </c>
      <c r="B43" s="3" t="str">
        <f>Bridge!B15</f>
        <v>Growth led by new-logo volume and pricing; partially offset by FX and churn. Drivers shown gross of intercompany.</v>
      </c>
      <c r="H43" s="5"/>
    </row>
    <row r="44">
      <c r="H44" s="5"/>
    </row>
    <row r="45">
      <c r="A45" s="1" t="s">
        <v>59</v>
      </c>
      <c r="H45" s="4" t="s">
        <v>60</v>
      </c>
    </row>
    <row r="46">
      <c r="A46" s="2" t="s">
        <v>61</v>
      </c>
      <c r="B46" s="3" t="str">
        <f>"$"&amp;TEXT('Capital &amp; Cash'!B9,"0")&amp;"M"</f>
        <v>$214M</v>
      </c>
      <c r="H46" s="5"/>
    </row>
    <row r="47">
      <c r="A47" s="2" t="s">
        <v>62</v>
      </c>
      <c r="B47" s="3" t="str">
        <f>"Returned to shareholders $"&amp;TEXT('Capital &amp; Cash'!B11,"0")&amp;"M  ·  "&amp;TEXT('Capital &amp; Cash'!B13,"0%")&amp;" of net income"</f>
        <v>Returned to shareholders $137M  ·  65% of net income</v>
      </c>
      <c r="H47" s="5"/>
    </row>
    <row r="48">
      <c r="H48" s="5"/>
    </row>
    <row r="49">
      <c r="B49" s="3" t="str">
        <f>'Capital &amp; Cash'!A4</f>
        <v>Dividends</v>
      </c>
      <c r="C49" s="7">
        <f>'Capital &amp; Cash'!C4</f>
        <v>0.2663551402</v>
      </c>
      <c r="D49" s="3" t="str">
        <f>"$"&amp;TEXT('Capital &amp; Cash'!B4,"0")&amp;"M"</f>
        <v>$57M</v>
      </c>
      <c r="H49" s="5"/>
    </row>
    <row r="50">
      <c r="B50" s="3" t="str">
        <f>'Capital &amp; Cash'!A5</f>
        <v>Share Buybacks</v>
      </c>
      <c r="C50" s="7">
        <f>'Capital &amp; Cash'!C5</f>
        <v>0.3738317757</v>
      </c>
      <c r="D50" s="3" t="str">
        <f>"$"&amp;TEXT('Capital &amp; Cash'!B5,"0")&amp;"M"</f>
        <v>$80M</v>
      </c>
      <c r="H50" s="5"/>
    </row>
    <row r="51">
      <c r="B51" s="3" t="str">
        <f>'Capital &amp; Cash'!A6</f>
        <v>CapEx</v>
      </c>
      <c r="C51" s="7">
        <f>'Capital &amp; Cash'!C6</f>
        <v>0.2710280374</v>
      </c>
      <c r="D51" s="3" t="str">
        <f>"$"&amp;TEXT('Capital &amp; Cash'!B6,"0")&amp;"M"</f>
        <v>$58M</v>
      </c>
      <c r="H51" s="5"/>
    </row>
    <row r="52">
      <c r="B52" s="3" t="str">
        <f>'Capital &amp; Cash'!A7</f>
        <v>M&amp;A / Investment</v>
      </c>
      <c r="C52" s="7">
        <f>'Capital &amp; Cash'!C7</f>
        <v>0.05140186916</v>
      </c>
      <c r="D52" s="3" t="str">
        <f>"$"&amp;TEXT('Capital &amp; Cash'!B7,"0")&amp;"M"</f>
        <v>$11M</v>
      </c>
      <c r="H52" s="5"/>
    </row>
    <row r="53">
      <c r="B53" s="3" t="str">
        <f>'Capital &amp; Cash'!A8</f>
        <v>Debt Paydown</v>
      </c>
      <c r="C53" s="7">
        <f>'Capital &amp; Cash'!C8</f>
        <v>0.03738317757</v>
      </c>
      <c r="D53" s="3" t="str">
        <f>"$"&amp;TEXT('Capital &amp; Cash'!B8,"0")&amp;"M"</f>
        <v>$8M</v>
      </c>
      <c r="H53" s="5"/>
    </row>
    <row r="54">
      <c r="H54" s="5"/>
    </row>
    <row r="55">
      <c r="A55" s="1" t="s">
        <v>63</v>
      </c>
      <c r="H55" s="4" t="s">
        <v>64</v>
      </c>
    </row>
    <row r="56">
      <c r="B56" s="3" t="str">
        <f>'Revenue Detail'!A27</f>
        <v>Platform</v>
      </c>
      <c r="C56" s="8">
        <f>'Revenue Detail'!S27</f>
        <v>0.4201612903</v>
      </c>
      <c r="D56" s="3" t="str">
        <f>"$"&amp;TEXT('Revenue Detail'!P27,"0")&amp;"M"</f>
        <v>$521M</v>
      </c>
      <c r="H56" s="5"/>
    </row>
    <row r="57">
      <c r="B57" s="3" t="str">
        <f>'Revenue Detail'!A28</f>
        <v>Services</v>
      </c>
      <c r="C57" s="8">
        <f>'Revenue Detail'!S28</f>
        <v>0.2798387097</v>
      </c>
      <c r="D57" s="3" t="str">
        <f>"$"&amp;TEXT('Revenue Detail'!P28,"0")&amp;"M"</f>
        <v>$347M</v>
      </c>
      <c r="H57" s="5"/>
    </row>
    <row r="58">
      <c r="B58" s="3" t="str">
        <f>'Revenue Detail'!A29</f>
        <v>Data &amp; API</v>
      </c>
      <c r="C58" s="8">
        <f>'Revenue Detail'!S29</f>
        <v>0.1798387097</v>
      </c>
      <c r="D58" s="3" t="str">
        <f>"$"&amp;TEXT('Revenue Detail'!P29,"0")&amp;"M"</f>
        <v>$223M</v>
      </c>
      <c r="H58" s="5"/>
    </row>
    <row r="59">
      <c r="B59" s="3" t="str">
        <f>'Revenue Detail'!A30</f>
        <v>Other</v>
      </c>
      <c r="C59" s="8">
        <f>'Revenue Detail'!S30</f>
        <v>0.1201612903</v>
      </c>
      <c r="D59" s="3" t="str">
        <f>"$"&amp;TEXT('Revenue Detail'!P30,"0")&amp;"M"</f>
        <v>$149M</v>
      </c>
      <c r="H59" s="5"/>
    </row>
    <row r="60">
      <c r="H60" s="5"/>
    </row>
    <row r="61">
      <c r="A61" s="1" t="s">
        <v>65</v>
      </c>
      <c r="H61" s="4" t="s">
        <v>66</v>
      </c>
    </row>
    <row r="62">
      <c r="B62" s="3" t="str">
        <f>'Revenue Detail'!A36</f>
        <v>Americas</v>
      </c>
      <c r="C62" s="9">
        <f>'Revenue Detail'!S36</f>
        <v>1</v>
      </c>
      <c r="D62" s="3" t="str">
        <f>"$"&amp;TEXT('Revenue Detail'!P36,"0")&amp;"M"</f>
        <v>$744M</v>
      </c>
      <c r="H62" s="5"/>
    </row>
    <row r="63">
      <c r="B63" s="3" t="str">
        <f>'Revenue Detail'!A37</f>
        <v>EMEA</v>
      </c>
      <c r="C63" s="9">
        <f>'Revenue Detail'!S37</f>
        <v>0.4166666667</v>
      </c>
      <c r="D63" s="3" t="str">
        <f>"$"&amp;TEXT('Revenue Detail'!P37,"0")&amp;"M"</f>
        <v>$310M</v>
      </c>
      <c r="H63" s="5"/>
    </row>
    <row r="64">
      <c r="B64" s="3" t="str">
        <f>'Revenue Detail'!A38</f>
        <v>APAC</v>
      </c>
      <c r="C64" s="9">
        <f>'Revenue Detail'!S38</f>
        <v>0.2002688172</v>
      </c>
      <c r="D64" s="3" t="str">
        <f>"$"&amp;TEXT('Revenue Detail'!P38,"0")&amp;"M"</f>
        <v>$149M</v>
      </c>
      <c r="H64" s="5"/>
    </row>
    <row r="65">
      <c r="B65" s="3" t="str">
        <f>'Revenue Detail'!A39</f>
        <v>Other</v>
      </c>
      <c r="C65" s="9">
        <f>'Revenue Detail'!S39</f>
        <v>0.0497311828</v>
      </c>
      <c r="D65" s="3" t="str">
        <f>"$"&amp;TEXT('Revenue Detail'!P39,"0")&amp;"M"</f>
        <v>$37M</v>
      </c>
      <c r="H65" s="5"/>
    </row>
    <row r="66">
      <c r="H66" s="5"/>
    </row>
    <row r="67">
      <c r="A67" s="1" t="s">
        <v>67</v>
      </c>
      <c r="H67" s="4" t="s">
        <v>68</v>
      </c>
    </row>
    <row r="68">
      <c r="B68" s="3" t="str">
        <f>'Revenue Detail'!A5</f>
        <v>Ledger Cloud</v>
      </c>
      <c r="C68" s="6">
        <f>'Revenue Detail'!P5</f>
        <v>420</v>
      </c>
      <c r="D68" s="6">
        <f>'Revenue Detail'!P16</f>
        <v>355</v>
      </c>
      <c r="H68" s="5"/>
    </row>
    <row r="69">
      <c r="B69" s="3" t="str">
        <f>'Revenue Detail'!A6</f>
        <v>Insights Suite</v>
      </c>
      <c r="C69" s="6">
        <f>'Revenue Detail'!P6</f>
        <v>300</v>
      </c>
      <c r="D69" s="6">
        <f>'Revenue Detail'!P17</f>
        <v>305</v>
      </c>
      <c r="H69" s="5"/>
    </row>
    <row r="70">
      <c r="B70" s="3" t="str">
        <f>'Revenue Detail'!A7</f>
        <v>Connect API</v>
      </c>
      <c r="C70" s="6">
        <f>'Revenue Detail'!P7</f>
        <v>230</v>
      </c>
      <c r="D70" s="6">
        <f>'Revenue Detail'!P18</f>
        <v>280</v>
      </c>
      <c r="H70" s="5"/>
    </row>
    <row r="71">
      <c r="B71" s="3" t="str">
        <f>'Revenue Detail'!A8</f>
        <v>Workflow Studio</v>
      </c>
      <c r="C71" s="6">
        <f>'Revenue Detail'!P8</f>
        <v>130</v>
      </c>
      <c r="D71" s="6">
        <f>'Revenue Detail'!P19</f>
        <v>118</v>
      </c>
      <c r="H71" s="5"/>
    </row>
    <row r="72">
      <c r="B72" s="3" t="str">
        <f>'Revenue Detail'!A9</f>
        <v>Marketplace</v>
      </c>
      <c r="C72" s="6">
        <f>'Revenue Detail'!P9</f>
        <v>95</v>
      </c>
      <c r="D72" s="6">
        <f>'Revenue Detail'!P20</f>
        <v>87</v>
      </c>
      <c r="H72" s="5"/>
    </row>
    <row r="73">
      <c r="B73" s="3" t="str">
        <f>'Revenue Detail'!A10</f>
        <v>Advisory Services</v>
      </c>
      <c r="C73" s="6">
        <f>'Revenue Detail'!P10</f>
        <v>65</v>
      </c>
      <c r="D73" s="6">
        <f>'Revenue Detail'!P21</f>
        <v>55</v>
      </c>
      <c r="H73" s="5"/>
    </row>
    <row r="74">
      <c r="H74" s="5"/>
    </row>
    <row r="75">
      <c r="A75" s="1" t="s">
        <v>69</v>
      </c>
      <c r="H75" s="4" t="s">
        <v>70</v>
      </c>
    </row>
    <row r="76">
      <c r="B76" s="2" t="s">
        <v>71</v>
      </c>
      <c r="C76" s="3" t="str">
        <f>TEXT(Operational!B9,"0%")</f>
        <v>118%</v>
      </c>
      <c r="D76" s="3" t="str">
        <f>"▲ "&amp;TEXT(ROUND((Operational!B9-Operational!C9)*100,0),"0")&amp;" pts"</f>
        <v>▲ 6 pts</v>
      </c>
      <c r="E76" s="10">
        <v>1.0</v>
      </c>
      <c r="H76" s="5"/>
    </row>
    <row r="77">
      <c r="B77" s="2" t="s">
        <v>72</v>
      </c>
      <c r="C77" s="3" t="str">
        <f>TEXT(Operational!B12,"#,##0")</f>
        <v>2,840</v>
      </c>
      <c r="D77" s="3" t="str">
        <f>"▲ "&amp;TEXT(Operational!B14,"0%")&amp;" YoY"</f>
        <v>▲ 18% YoY</v>
      </c>
      <c r="E77" s="10">
        <v>1.0</v>
      </c>
      <c r="H77" s="5"/>
    </row>
    <row r="78">
      <c r="B78" s="2" t="s">
        <v>73</v>
      </c>
      <c r="C78" s="3" t="str">
        <f>TEXT(Operational!B15,"0.0%")</f>
        <v>1.4%</v>
      </c>
      <c r="D78" s="3" t="str">
        <f>"▼ "&amp;TEXT(ROUND(ABS(Operational!B15-Operational!C15)*10000,0),"0")&amp;" bps"</f>
        <v>▼ 30 bps</v>
      </c>
      <c r="E78" s="10">
        <v>1.0</v>
      </c>
      <c r="H78" s="5"/>
    </row>
    <row r="79">
      <c r="B79" s="2" t="s">
        <v>74</v>
      </c>
      <c r="C79" s="3" t="str">
        <f>TEXT(Operational!B18,"0")</f>
        <v>62</v>
      </c>
      <c r="D79" s="3" t="str">
        <f>"▲ "&amp;TEXT(Operational!B18-Operational!C18,"0")&amp;" pts"</f>
        <v>▲ 4 pts</v>
      </c>
      <c r="E79" s="10">
        <v>1.0</v>
      </c>
      <c r="H79" s="5"/>
    </row>
    <row r="80">
      <c r="B80" s="2" t="s">
        <v>75</v>
      </c>
      <c r="C80" s="3" t="str">
        <f>TEXT(Operational!B21,"0.0")&amp;"x"</f>
        <v>3.4x</v>
      </c>
      <c r="D80" s="3" t="str">
        <f>"▲ "&amp;TEXT(Operational!B21-Operational!C21,"0.0")&amp;" QoQ"</f>
        <v>▲ 0.3 QoQ</v>
      </c>
      <c r="E80" s="10">
        <v>1.0</v>
      </c>
      <c r="H80" s="5"/>
    </row>
    <row r="81">
      <c r="B81" s="2" t="s">
        <v>76</v>
      </c>
      <c r="C81" s="3" t="str">
        <f>TEXT(Operational!B22,"#,##0")</f>
        <v>1,260</v>
      </c>
      <c r="D81" s="3" t="str">
        <f>"▲ "&amp;TEXT(Operational!B22-Operational!C22,"0")&amp;" QoQ"</f>
        <v>▲ 40 QoQ</v>
      </c>
      <c r="E81" s="10">
        <v>0.0</v>
      </c>
      <c r="H81" s="5"/>
    </row>
    <row r="82">
      <c r="H82" s="5"/>
    </row>
    <row r="83">
      <c r="A83" s="1" t="s">
        <v>77</v>
      </c>
      <c r="H83" s="4" t="s">
        <v>78</v>
      </c>
    </row>
    <row r="84">
      <c r="B84" s="3" t="str">
        <f t="array" ref="B84:B88">Risk!B4:B8</f>
        <v>Key-customer concentration — VP Sales</v>
      </c>
      <c r="D84" s="3">
        <f t="array" ref="D84:F88">{Risk!C4:C8,Risk!D4:D8,Risk!A4:A8}</f>
        <v>2</v>
      </c>
      <c r="E84" s="3">
        <v>2.0</v>
      </c>
      <c r="F84" s="3">
        <v>1.0</v>
      </c>
      <c r="H84" s="5"/>
    </row>
    <row r="85">
      <c r="B85" s="3" t="s">
        <v>79</v>
      </c>
      <c r="D85" s="3">
        <v>1.0</v>
      </c>
      <c r="E85" s="3">
        <v>2.0</v>
      </c>
      <c r="F85" s="3">
        <v>2.0</v>
      </c>
      <c r="H85" s="5"/>
    </row>
    <row r="86">
      <c r="B86" s="3" t="s">
        <v>80</v>
      </c>
      <c r="D86" s="3">
        <v>0.0</v>
      </c>
      <c r="E86" s="3">
        <v>1.0</v>
      </c>
      <c r="F86" s="3">
        <v>3.0</v>
      </c>
      <c r="H86" s="5"/>
    </row>
    <row r="87">
      <c r="B87" s="3" t="s">
        <v>81</v>
      </c>
      <c r="D87" s="3">
        <v>2.0</v>
      </c>
      <c r="E87" s="3">
        <v>0.0</v>
      </c>
      <c r="F87" s="3">
        <v>4.0</v>
      </c>
      <c r="H87" s="5"/>
    </row>
    <row r="88">
      <c r="B88" s="3" t="s">
        <v>82</v>
      </c>
      <c r="D88" s="3">
        <v>1.0</v>
      </c>
      <c r="E88" s="3">
        <v>1.0</v>
      </c>
      <c r="F88" s="3">
        <v>5.0</v>
      </c>
      <c r="H88" s="5"/>
    </row>
    <row r="89">
      <c r="H89" s="5"/>
    </row>
    <row r="90">
      <c r="A90" s="1" t="s">
        <v>83</v>
      </c>
      <c r="H90" s="4" t="s">
        <v>84</v>
      </c>
    </row>
    <row r="91">
      <c r="B91" s="3" t="str">
        <f t="array" ref="B91:E95">Priorities!A4:D8</f>
        <v>Launch self-serve onboarding</v>
      </c>
      <c r="C91" s="3" t="s">
        <v>85</v>
      </c>
      <c r="D91" s="3" t="s">
        <v>86</v>
      </c>
      <c r="E91" s="3" t="s">
        <v>87</v>
      </c>
      <c r="H91" s="5"/>
    </row>
    <row r="92">
      <c r="B92" s="3" t="s">
        <v>88</v>
      </c>
      <c r="C92" s="3" t="s">
        <v>89</v>
      </c>
      <c r="D92" s="3" t="s">
        <v>90</v>
      </c>
      <c r="E92" s="3" t="s">
        <v>91</v>
      </c>
      <c r="H92" s="5"/>
    </row>
    <row r="93">
      <c r="B93" s="3" t="s">
        <v>92</v>
      </c>
      <c r="C93" s="3" t="s">
        <v>93</v>
      </c>
      <c r="D93" s="3" t="s">
        <v>94</v>
      </c>
      <c r="E93" s="3" t="s">
        <v>87</v>
      </c>
      <c r="H93" s="5"/>
    </row>
    <row r="94">
      <c r="B94" s="3" t="s">
        <v>95</v>
      </c>
      <c r="C94" s="3" t="s">
        <v>96</v>
      </c>
      <c r="D94" s="3" t="s">
        <v>97</v>
      </c>
      <c r="E94" s="3" t="s">
        <v>98</v>
      </c>
      <c r="H94" s="5"/>
    </row>
    <row r="95">
      <c r="B95" s="3" t="s">
        <v>99</v>
      </c>
      <c r="C95" s="3" t="s">
        <v>100</v>
      </c>
      <c r="D95" s="3" t="s">
        <v>101</v>
      </c>
      <c r="E95" s="3" t="s">
        <v>87</v>
      </c>
      <c r="H95" s="5"/>
    </row>
    <row r="96">
      <c r="H96" s="5"/>
    </row>
    <row r="97">
      <c r="A97" s="1" t="s">
        <v>102</v>
      </c>
      <c r="H97" s="4" t="s">
        <v>103</v>
      </c>
    </row>
    <row r="98">
      <c r="B98" s="11" t="str">
        <f t="array" ref="B98:E101">Agenda!A4:D7</f>
        <v>01</v>
      </c>
      <c r="C98" s="3" t="s">
        <v>104</v>
      </c>
      <c r="D98" s="3" t="s">
        <v>105</v>
      </c>
      <c r="E98" s="3" t="s">
        <v>106</v>
      </c>
      <c r="H98" s="5"/>
    </row>
    <row r="99">
      <c r="B99" s="11" t="s">
        <v>107</v>
      </c>
      <c r="C99" s="3" t="s">
        <v>108</v>
      </c>
      <c r="D99" s="3" t="s">
        <v>109</v>
      </c>
      <c r="E99" s="3" t="s">
        <v>110</v>
      </c>
      <c r="H99" s="5"/>
    </row>
    <row r="100">
      <c r="B100" s="11" t="s">
        <v>111</v>
      </c>
      <c r="C100" s="3" t="s">
        <v>112</v>
      </c>
      <c r="D100" s="3" t="s">
        <v>113</v>
      </c>
      <c r="E100" s="3" t="s">
        <v>106</v>
      </c>
      <c r="H100" s="5"/>
    </row>
    <row r="101">
      <c r="B101" s="11" t="s">
        <v>114</v>
      </c>
      <c r="C101" s="3" t="s">
        <v>115</v>
      </c>
      <c r="D101" s="3" t="s">
        <v>116</v>
      </c>
      <c r="E101" s="3" t="s">
        <v>117</v>
      </c>
      <c r="H101" s="5"/>
    </row>
    <row r="102">
      <c r="H102" s="5"/>
    </row>
    <row r="103">
      <c r="A103" s="1" t="s">
        <v>118</v>
      </c>
      <c r="H103" s="4" t="s">
        <v>119</v>
      </c>
    </row>
    <row r="104">
      <c r="B104" s="3" t="str">
        <f t="array" ref="B104:B106">Decisions!A4:A6</f>
        <v>Approve $25M expansion of the EMEA go-to-market budget.</v>
      </c>
      <c r="D104" s="3" t="str">
        <f t="array" ref="D104:D106">Decisions!C4:C6</f>
        <v>Introductions to 2 enterprise logos in financial services.</v>
      </c>
      <c r="H104" s="5"/>
    </row>
    <row r="105">
      <c r="B105" s="3" t="s">
        <v>120</v>
      </c>
      <c r="D105" s="3" t="s">
        <v>121</v>
      </c>
      <c r="H105" s="5"/>
    </row>
    <row r="106">
      <c r="B106" s="3" t="s">
        <v>122</v>
      </c>
      <c r="D106" s="3" t="s">
        <v>123</v>
      </c>
      <c r="H106" s="5"/>
    </row>
    <row r="107">
      <c r="H107" s="5"/>
    </row>
    <row r="108">
      <c r="A108" s="2" t="s">
        <v>124</v>
      </c>
      <c r="B108" s="3" t="str">
        <f>Decisions!A9</f>
        <v>Next meeting: Oct 14  ·  Preview topics: FY26 plan, M&amp;A pipeline</v>
      </c>
      <c r="H108" s="5"/>
    </row>
    <row r="109">
      <c r="H109" s="5"/>
    </row>
    <row r="110">
      <c r="A110" s="1" t="s">
        <v>125</v>
      </c>
      <c r="H110" s="4" t="s">
        <v>126</v>
      </c>
    </row>
    <row r="111">
      <c r="A111" s="2" t="s">
        <v>127</v>
      </c>
      <c r="B111" s="3" t="str">
        <f>Meta!B1</f>
        <v>Q3 FY2026</v>
      </c>
      <c r="H111" s="5"/>
    </row>
    <row r="112">
      <c r="A112" s="2" t="s">
        <v>128</v>
      </c>
      <c r="B112" s="3" t="str">
        <f>Meta!B2</f>
        <v>External · Custom Automated Financial Reporting</v>
      </c>
      <c r="H112" s="5"/>
    </row>
    <row r="113">
      <c r="A113" s="2" t="s">
        <v>129</v>
      </c>
      <c r="B113" s="3" t="str">
        <f>Meta!B3</f>
        <v>OPS GS, LLC</v>
      </c>
      <c r="H113" s="5"/>
    </row>
    <row r="114">
      <c r="A114" s="2" t="s">
        <v>130</v>
      </c>
      <c r="B114" s="3" t="str">
        <f>Meta!B4</f>
        <v>The Operational Gold Standard</v>
      </c>
      <c r="H114" s="5"/>
    </row>
    <row r="115">
      <c r="A115" s="2" t="s">
        <v>131</v>
      </c>
      <c r="B115" s="3" t="str">
        <f>Meta!B5</f>
        <v>Tom@OpsGS.com   |   https://opsgs.vercel.app</v>
      </c>
      <c r="H115" s="5"/>
    </row>
    <row r="116">
      <c r="A116" s="2" t="s">
        <v>132</v>
      </c>
      <c r="B116" s="3" t="str">
        <f>Meta!B6</f>
        <v>Board of Directors  ·  Q3 FY2026</v>
      </c>
      <c r="H116" s="5"/>
    </row>
    <row r="117">
      <c r="H117" s="5"/>
    </row>
    <row r="118">
      <c r="A118" s="1" t="s">
        <v>133</v>
      </c>
      <c r="H118" s="4" t="s">
        <v>134</v>
      </c>
    </row>
    <row r="119">
      <c r="B119" s="3" t="str">
        <f t="array" ref="B119:E121">Guidance!A4:D6</f>
        <v>NEXT QUARTER</v>
      </c>
      <c r="C119" s="3" t="s">
        <v>135</v>
      </c>
      <c r="D119" s="3" t="s">
        <v>136</v>
      </c>
      <c r="E119" s="3" t="s">
        <v>137</v>
      </c>
      <c r="H119" s="5"/>
    </row>
    <row r="120">
      <c r="B120" s="3" t="s">
        <v>138</v>
      </c>
      <c r="C120" s="3" t="s">
        <v>139</v>
      </c>
      <c r="D120" s="3" t="s">
        <v>136</v>
      </c>
      <c r="E120" s="3" t="s">
        <v>140</v>
      </c>
      <c r="H120" s="5"/>
    </row>
    <row r="121">
      <c r="B121" s="3" t="s">
        <v>141</v>
      </c>
      <c r="C121" s="3" t="s">
        <v>142</v>
      </c>
      <c r="D121" s="3" t="s">
        <v>22</v>
      </c>
      <c r="E121" s="3" t="s">
        <v>143</v>
      </c>
      <c r="H121" s="5"/>
    </row>
    <row r="122">
      <c r="H122" s="5"/>
    </row>
    <row r="123">
      <c r="A123" s="2" t="s">
        <v>144</v>
      </c>
      <c r="B123" s="3" t="str">
        <f>Guidance!A9</f>
        <v>Key assumptions: ~14% organic growth, stable FX, no major macro shock. Guidance excludes M&amp;A. Forward-looking statements subject to risks in our filings.</v>
      </c>
      <c r="H123" s="5"/>
    </row>
    <row r="124">
      <c r="A124" s="1" t="s">
        <v>145</v>
      </c>
      <c r="H124" s="2" t="s">
        <v>146</v>
      </c>
    </row>
    <row r="125">
      <c r="B125" s="2" t="s">
        <v>37</v>
      </c>
      <c r="C125" s="3" t="str">
        <f>TEXT('Capital &amp; Cash'!B22,"#,##0")</f>
        <v>212</v>
      </c>
    </row>
    <row r="126">
      <c r="B126" s="2" t="s">
        <v>147</v>
      </c>
      <c r="C126" s="3" t="str">
        <f>TEXT('Capital &amp; Cash'!B32,"#,##0")</f>
        <v>64</v>
      </c>
    </row>
    <row r="127">
      <c r="B127" s="2" t="s">
        <v>148</v>
      </c>
      <c r="C127" s="3" t="str">
        <f>TEXT('Capital &amp; Cash'!B33,"#,##0")</f>
        <v>28</v>
      </c>
    </row>
    <row r="128">
      <c r="B128" s="2" t="s">
        <v>149</v>
      </c>
      <c r="C128" s="3" t="str">
        <f>TEXT('Capital &amp; Cash'!B34,"#,##0")</f>
        <v>12</v>
      </c>
    </row>
    <row r="129">
      <c r="B129" s="2" t="s">
        <v>150</v>
      </c>
      <c r="C129" s="3" t="str">
        <f>TEXT('Capital &amp; Cash'!B17,"#,##0")</f>
        <v>316</v>
      </c>
    </row>
    <row r="130">
      <c r="B130" s="2" t="s">
        <v>42</v>
      </c>
      <c r="C130" s="3" t="str">
        <f>"("&amp;TEXT('Capital &amp; Cash'!B18,"#,##0")&amp;")"</f>
        <v>(58)</v>
      </c>
    </row>
    <row r="131">
      <c r="B131" s="2" t="s">
        <v>151</v>
      </c>
      <c r="C131" s="3" t="str">
        <f>"("&amp;TEXT('Capital &amp; Cash'!B7,"#,##0")&amp;")"</f>
        <v>(11)</v>
      </c>
    </row>
    <row r="132">
      <c r="B132" s="2" t="s">
        <v>152</v>
      </c>
      <c r="C132" s="3" t="str">
        <f>TEXT('Capital &amp; Cash'!B35,"#,##0;(#,##0)")</f>
        <v>(69)</v>
      </c>
    </row>
    <row r="133">
      <c r="B133" s="2" t="s">
        <v>153</v>
      </c>
      <c r="C133" s="3" t="str">
        <f>"("&amp;TEXT('Capital &amp; Cash'!B4,"#,##0")&amp;")"</f>
        <v>(57)</v>
      </c>
    </row>
    <row r="134">
      <c r="B134" s="2" t="s">
        <v>154</v>
      </c>
      <c r="C134" s="3" t="str">
        <f>"("&amp;TEXT('Capital &amp; Cash'!B5,"#,##0")&amp;")"</f>
        <v>(80)</v>
      </c>
    </row>
    <row r="135">
      <c r="B135" s="2" t="s">
        <v>155</v>
      </c>
      <c r="C135" s="3" t="str">
        <f>"("&amp;TEXT('Capital &amp; Cash'!B8,"#,##0")&amp;")"</f>
        <v>(8)</v>
      </c>
    </row>
    <row r="136">
      <c r="B136" s="2" t="s">
        <v>156</v>
      </c>
      <c r="C136" s="3" t="str">
        <f>TEXT('Capital &amp; Cash'!B36,"#,##0;(#,##0)")</f>
        <v>(145)</v>
      </c>
    </row>
    <row r="137">
      <c r="B137" s="2" t="s">
        <v>157</v>
      </c>
      <c r="C137" s="3" t="str">
        <f>TEXT('Capital &amp; Cash'!B37,"+#,##0;(#,##0)")</f>
        <v>+102</v>
      </c>
    </row>
    <row r="138">
      <c r="B138" s="2" t="s">
        <v>158</v>
      </c>
      <c r="C138" s="3" t="str">
        <f>TEXT('Capital &amp; Cash'!B20,"#,##0")</f>
        <v>258</v>
      </c>
    </row>
    <row r="139">
      <c r="A139" s="2" t="s">
        <v>159</v>
      </c>
    </row>
    <row r="140">
      <c r="B140" s="3" t="str">
        <f>"Operating cash flow $"&amp;TEXT('Capital &amp; Cash'!B17,"0")&amp;"M − CapEx $"&amp;TEXT('Capital &amp; Cash'!B18,"0")&amp;"M"</f>
        <v>Operating cash flow $316M − CapEx $58M</v>
      </c>
    </row>
    <row r="141">
      <c r="B141" s="3" t="str">
        <f>"+$"&amp;TEXT('Capital &amp; Cash'!B37,"0")&amp;"M"</f>
        <v>+$102M</v>
      </c>
    </row>
    <row r="142">
      <c r="A142" s="1" t="s">
        <v>160</v>
      </c>
      <c r="H142" s="2" t="s">
        <v>161</v>
      </c>
    </row>
    <row r="143">
      <c r="B143" s="2" t="s">
        <v>162</v>
      </c>
      <c r="C143" s="3" t="str">
        <f>TEXT('Balance Sheet'!B4,"#,##0")</f>
        <v>420</v>
      </c>
      <c r="D143" s="3" t="str">
        <f>TEXT('Balance Sheet'!C4,"#,##0")</f>
        <v>318</v>
      </c>
    </row>
    <row r="144">
      <c r="B144" s="2" t="s">
        <v>163</v>
      </c>
      <c r="C144" s="3" t="str">
        <f>TEXT('Balance Sheet'!B5,"#,##0")</f>
        <v>280</v>
      </c>
      <c r="D144" s="3" t="str">
        <f>TEXT('Balance Sheet'!C5,"#,##0")</f>
        <v>262</v>
      </c>
    </row>
    <row r="145">
      <c r="B145" s="2" t="s">
        <v>164</v>
      </c>
      <c r="C145" s="3" t="str">
        <f>TEXT('Balance Sheet'!B6,"#,##0")</f>
        <v>540</v>
      </c>
      <c r="D145" s="3" t="str">
        <f>TEXT('Balance Sheet'!C6,"#,##0")</f>
        <v>546</v>
      </c>
    </row>
    <row r="146">
      <c r="B146" s="2" t="s">
        <v>165</v>
      </c>
      <c r="C146" s="3" t="str">
        <f>TEXT('Balance Sheet'!B7,"#,##0")</f>
        <v>220</v>
      </c>
      <c r="D146" s="3" t="str">
        <f>TEXT('Balance Sheet'!C7,"#,##0")</f>
        <v>209</v>
      </c>
    </row>
    <row r="147">
      <c r="B147" s="2" t="s">
        <v>166</v>
      </c>
      <c r="C147" s="3" t="str">
        <f>TEXT('Balance Sheet'!B8,"#,##0")</f>
        <v>230</v>
      </c>
      <c r="D147" s="3" t="str">
        <f>TEXT('Balance Sheet'!C8,"#,##0")</f>
        <v>224</v>
      </c>
    </row>
    <row r="148">
      <c r="B148" s="2" t="s">
        <v>167</v>
      </c>
      <c r="C148" s="3" t="str">
        <f>TEXT('Balance Sheet'!B9,"#,##0")</f>
        <v>1,690</v>
      </c>
      <c r="D148" s="3" t="str">
        <f>TEXT('Balance Sheet'!C9,"#,##0")</f>
        <v>1,559</v>
      </c>
    </row>
    <row r="149">
      <c r="B149" s="2" t="s">
        <v>168</v>
      </c>
      <c r="C149" s="3" t="str">
        <f>TEXT('Balance Sheet'!B10,"#,##0")</f>
        <v>160</v>
      </c>
      <c r="D149" s="3" t="str">
        <f>TEXT('Balance Sheet'!C10,"#,##0")</f>
        <v>152</v>
      </c>
    </row>
    <row r="150">
      <c r="B150" s="2" t="s">
        <v>169</v>
      </c>
      <c r="C150" s="3" t="str">
        <f>TEXT('Balance Sheet'!B11,"#,##0")</f>
        <v>300</v>
      </c>
      <c r="D150" s="3" t="str">
        <f>TEXT('Balance Sheet'!C11,"#,##0")</f>
        <v>272</v>
      </c>
    </row>
    <row r="151">
      <c r="B151" s="2" t="s">
        <v>170</v>
      </c>
      <c r="C151" s="3" t="str">
        <f>TEXT('Balance Sheet'!B12,"#,##0")</f>
        <v>318</v>
      </c>
      <c r="D151" s="3" t="str">
        <f>TEXT('Balance Sheet'!C12,"#,##0")</f>
        <v>326</v>
      </c>
    </row>
    <row r="152">
      <c r="B152" s="2" t="s">
        <v>171</v>
      </c>
      <c r="C152" s="3" t="str">
        <f>TEXT('Balance Sheet'!B13,"#,##0")</f>
        <v>778</v>
      </c>
      <c r="D152" s="3" t="str">
        <f>TEXT('Balance Sheet'!C13,"#,##0")</f>
        <v>750</v>
      </c>
    </row>
    <row r="153">
      <c r="B153" s="2" t="s">
        <v>172</v>
      </c>
      <c r="C153" s="3" t="str">
        <f>TEXT('Balance Sheet'!B14,"#,##0")</f>
        <v>750</v>
      </c>
      <c r="D153" s="3" t="str">
        <f>TEXT('Balance Sheet'!C14,"#,##0")</f>
        <v>722</v>
      </c>
    </row>
    <row r="154">
      <c r="B154" s="2" t="s">
        <v>173</v>
      </c>
      <c r="C154" s="3" t="str">
        <f>TEXT('Balance Sheet'!B15,"#,##0")</f>
        <v>392</v>
      </c>
      <c r="D154" s="3" t="str">
        <f>TEXT('Balance Sheet'!C15,"#,##0")</f>
        <v>237</v>
      </c>
    </row>
    <row r="155">
      <c r="B155" s="2" t="s">
        <v>174</v>
      </c>
      <c r="C155" s="3" t="str">
        <f>"("&amp;TEXT(-'Balance Sheet'!B16,"#,##0")&amp;")"</f>
        <v>(230)</v>
      </c>
      <c r="D155" s="3" t="str">
        <f>"("&amp;TEXT(-'Balance Sheet'!C16,"#,##0")&amp;")"</f>
        <v>(150)</v>
      </c>
    </row>
    <row r="156">
      <c r="B156" s="2" t="s">
        <v>175</v>
      </c>
      <c r="C156" s="3" t="str">
        <f>TEXT('Balance Sheet'!B17,"#,##0")</f>
        <v>912</v>
      </c>
      <c r="D156" s="3" t="str">
        <f>TEXT('Balance Sheet'!C17,"#,##0")</f>
        <v>809</v>
      </c>
    </row>
    <row r="157">
      <c r="B157" s="2" t="s">
        <v>176</v>
      </c>
      <c r="C157" s="3" t="str">
        <f>TEXT('Balance Sheet'!B18,"#,##0")</f>
        <v>1,690</v>
      </c>
      <c r="D157" s="3" t="str">
        <f>TEXT('Balance Sheet'!C18,"#,##0")</f>
        <v>1,559</v>
      </c>
    </row>
    <row r="158">
      <c r="A158" s="2" t="s">
        <v>177</v>
      </c>
    </row>
    <row r="159">
      <c r="B159" s="3" t="str">
        <f>"$"&amp;TEXT('Balance Sheet'!B9,"#,##0")&amp;"M"</f>
        <v>$1,690M</v>
      </c>
    </row>
    <row r="160">
      <c r="B160" s="2" t="s">
        <v>178</v>
      </c>
    </row>
    <row r="161">
      <c r="B161" s="3" t="str">
        <f>TEXT('Balance Sheet'!B12/'Balance Sheet'!B17,"0.00")&amp;"x"</f>
        <v>0.35x</v>
      </c>
    </row>
    <row r="163">
      <c r="A163" s="1" t="s">
        <v>179</v>
      </c>
      <c r="H163" s="2" t="s">
        <v>180</v>
      </c>
    </row>
    <row r="164">
      <c r="B164" s="3" t="str">
        <f>'Balance Sheet'!A21</f>
        <v>FY2026</v>
      </c>
      <c r="C164" s="3">
        <f>'Balance Sheet'!B21</f>
        <v>8</v>
      </c>
      <c r="D164" s="3" t="str">
        <f>"$"&amp;TEXT('Balance Sheet'!B21,"0")&amp;"M"</f>
        <v>$8M</v>
      </c>
    </row>
    <row r="165">
      <c r="B165" s="3" t="str">
        <f>'Balance Sheet'!A22</f>
        <v>FY2027</v>
      </c>
      <c r="C165" s="3">
        <f>'Balance Sheet'!B22</f>
        <v>40</v>
      </c>
      <c r="D165" s="3" t="str">
        <f>"$"&amp;TEXT('Balance Sheet'!B22,"0")&amp;"M"</f>
        <v>$40M</v>
      </c>
    </row>
    <row r="166">
      <c r="B166" s="3" t="str">
        <f>'Balance Sheet'!A23</f>
        <v>FY2028</v>
      </c>
      <c r="C166" s="3">
        <f>'Balance Sheet'!B23</f>
        <v>60</v>
      </c>
      <c r="D166" s="3" t="str">
        <f>"$"&amp;TEXT('Balance Sheet'!B23,"0")&amp;"M"</f>
        <v>$60M</v>
      </c>
    </row>
    <row r="167">
      <c r="B167" s="3" t="str">
        <f>'Balance Sheet'!A24</f>
        <v>FY2029</v>
      </c>
      <c r="C167" s="3">
        <f>'Balance Sheet'!B24</f>
        <v>90</v>
      </c>
      <c r="D167" s="3" t="str">
        <f>"$"&amp;TEXT('Balance Sheet'!B24,"0")&amp;"M"</f>
        <v>$90M</v>
      </c>
    </row>
    <row r="168">
      <c r="B168" s="3" t="str">
        <f>'Balance Sheet'!A25</f>
        <v>FY2030+</v>
      </c>
      <c r="C168" s="3">
        <f>'Balance Sheet'!B25</f>
        <v>120</v>
      </c>
      <c r="D168" s="3" t="str">
        <f>"$"&amp;TEXT('Balance Sheet'!B25,"0")&amp;"M"</f>
        <v>$120M</v>
      </c>
    </row>
    <row r="169">
      <c r="A169" s="2" t="s">
        <v>181</v>
      </c>
    </row>
    <row r="170">
      <c r="B170" s="3" t="str">
        <f>"$"&amp;TEXT('Balance Sheet'!B26,"#,##0")&amp;"M"</f>
        <v>$318M</v>
      </c>
    </row>
    <row r="171">
      <c r="B171" s="3" t="str">
        <f>TEXT('Balance Sheet'!B28,"0.0")&amp;" yrs"</f>
        <v>3.9 yrs</v>
      </c>
    </row>
  </sheetData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75"/>
  <cols>
    <col customWidth="1" min="1" max="1" width="25.13"/>
    <col customWidth="1" min="2" max="3" width="3.75"/>
    <col customWidth="1" min="4" max="4" width="3.88"/>
    <col customWidth="1" min="5" max="5" width="3.75"/>
    <col customWidth="1" min="6" max="6" width="4.0"/>
    <col customWidth="1" min="7" max="8" width="3.75"/>
    <col customWidth="1" min="9" max="9" width="3.88"/>
    <col customWidth="1" min="10" max="11" width="3.75"/>
    <col customWidth="1" min="12" max="12" width="3.88"/>
    <col customWidth="1" min="13" max="13" width="3.75"/>
    <col customWidth="1" min="14" max="18" width="4.63"/>
  </cols>
  <sheetData>
    <row r="1">
      <c r="A1" s="1" t="s">
        <v>182</v>
      </c>
    </row>
    <row r="3">
      <c r="A3" s="1" t="s">
        <v>183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3"/>
    </row>
    <row r="4">
      <c r="A4" s="1" t="s">
        <v>184</v>
      </c>
      <c r="B4" s="1" t="s">
        <v>185</v>
      </c>
      <c r="C4" s="1" t="s">
        <v>186</v>
      </c>
      <c r="D4" s="1" t="s">
        <v>187</v>
      </c>
      <c r="E4" s="1" t="s">
        <v>188</v>
      </c>
      <c r="F4" s="1" t="s">
        <v>189</v>
      </c>
      <c r="G4" s="1" t="s">
        <v>190</v>
      </c>
      <c r="H4" s="1" t="s">
        <v>191</v>
      </c>
      <c r="I4" s="1" t="s">
        <v>192</v>
      </c>
      <c r="J4" s="1" t="s">
        <v>193</v>
      </c>
      <c r="K4" s="1" t="s">
        <v>194</v>
      </c>
      <c r="L4" s="1" t="s">
        <v>195</v>
      </c>
      <c r="M4" s="1" t="s">
        <v>196</v>
      </c>
      <c r="N4" s="14" t="s">
        <v>197</v>
      </c>
      <c r="O4" s="14" t="s">
        <v>198</v>
      </c>
      <c r="P4" s="14" t="s">
        <v>199</v>
      </c>
      <c r="Q4" s="14" t="s">
        <v>200</v>
      </c>
      <c r="R4" s="14" t="s">
        <v>201</v>
      </c>
    </row>
    <row r="5">
      <c r="A5" s="2" t="s">
        <v>202</v>
      </c>
      <c r="B5" s="15">
        <v>127.0</v>
      </c>
      <c r="C5" s="15">
        <v>131.0</v>
      </c>
      <c r="D5" s="15">
        <v>138.0</v>
      </c>
      <c r="E5" s="15">
        <v>132.0</v>
      </c>
      <c r="F5" s="15">
        <v>136.0</v>
      </c>
      <c r="G5" s="15">
        <v>143.0</v>
      </c>
      <c r="H5" s="15">
        <v>134.0</v>
      </c>
      <c r="I5" s="15">
        <v>139.0</v>
      </c>
      <c r="J5" s="15">
        <v>147.0</v>
      </c>
      <c r="N5" s="16">
        <f t="shared" ref="N5:N10" si="1">SUM(B5:D5)</f>
        <v>396</v>
      </c>
      <c r="O5" s="16">
        <f t="shared" ref="O5:O10" si="2">SUM(E5:G5)</f>
        <v>411</v>
      </c>
      <c r="P5" s="16">
        <f t="shared" ref="P5:P10" si="3">SUM(H5:J5)</f>
        <v>420</v>
      </c>
      <c r="Q5" s="16"/>
      <c r="R5" s="16">
        <f t="shared" ref="R5:R10" si="4">SUM(B5:M5)</f>
        <v>1227</v>
      </c>
    </row>
    <row r="6">
      <c r="A6" s="2" t="s">
        <v>203</v>
      </c>
      <c r="B6" s="15">
        <v>90.0</v>
      </c>
      <c r="C6" s="15">
        <v>92.0</v>
      </c>
      <c r="D6" s="15">
        <v>98.0</v>
      </c>
      <c r="E6" s="15">
        <v>94.0</v>
      </c>
      <c r="F6" s="15">
        <v>97.0</v>
      </c>
      <c r="G6" s="15">
        <v>103.0</v>
      </c>
      <c r="H6" s="15">
        <v>96.0</v>
      </c>
      <c r="I6" s="15">
        <v>99.0</v>
      </c>
      <c r="J6" s="15">
        <v>105.0</v>
      </c>
      <c r="N6" s="16">
        <f t="shared" si="1"/>
        <v>280</v>
      </c>
      <c r="O6" s="16">
        <f t="shared" si="2"/>
        <v>294</v>
      </c>
      <c r="P6" s="16">
        <f t="shared" si="3"/>
        <v>300</v>
      </c>
      <c r="Q6" s="16"/>
      <c r="R6" s="16">
        <f t="shared" si="4"/>
        <v>874</v>
      </c>
    </row>
    <row r="7">
      <c r="A7" s="2" t="s">
        <v>204</v>
      </c>
      <c r="B7" s="15">
        <v>68.0</v>
      </c>
      <c r="C7" s="15">
        <v>70.0</v>
      </c>
      <c r="D7" s="15">
        <v>75.0</v>
      </c>
      <c r="E7" s="15">
        <v>72.0</v>
      </c>
      <c r="F7" s="15">
        <v>74.0</v>
      </c>
      <c r="G7" s="15">
        <v>78.0</v>
      </c>
      <c r="H7" s="15">
        <v>74.0</v>
      </c>
      <c r="I7" s="15">
        <v>76.0</v>
      </c>
      <c r="J7" s="15">
        <v>80.0</v>
      </c>
      <c r="N7" s="16">
        <f t="shared" si="1"/>
        <v>213</v>
      </c>
      <c r="O7" s="16">
        <f t="shared" si="2"/>
        <v>224</v>
      </c>
      <c r="P7" s="16">
        <f t="shared" si="3"/>
        <v>230</v>
      </c>
      <c r="Q7" s="16"/>
      <c r="R7" s="16">
        <f t="shared" si="4"/>
        <v>667</v>
      </c>
    </row>
    <row r="8">
      <c r="A8" s="2" t="s">
        <v>205</v>
      </c>
      <c r="B8" s="15">
        <v>38.0</v>
      </c>
      <c r="C8" s="15">
        <v>39.0</v>
      </c>
      <c r="D8" s="15">
        <v>41.0</v>
      </c>
      <c r="E8" s="15">
        <v>40.0</v>
      </c>
      <c r="F8" s="15">
        <v>41.0</v>
      </c>
      <c r="G8" s="15">
        <v>43.0</v>
      </c>
      <c r="H8" s="15">
        <v>42.0</v>
      </c>
      <c r="I8" s="15">
        <v>43.0</v>
      </c>
      <c r="J8" s="15">
        <v>45.0</v>
      </c>
      <c r="N8" s="16">
        <f t="shared" si="1"/>
        <v>118</v>
      </c>
      <c r="O8" s="16">
        <f t="shared" si="2"/>
        <v>124</v>
      </c>
      <c r="P8" s="16">
        <f t="shared" si="3"/>
        <v>130</v>
      </c>
      <c r="Q8" s="16"/>
      <c r="R8" s="16">
        <f t="shared" si="4"/>
        <v>372</v>
      </c>
    </row>
    <row r="9">
      <c r="A9" s="2" t="s">
        <v>206</v>
      </c>
      <c r="B9" s="15">
        <v>27.0</v>
      </c>
      <c r="C9" s="15">
        <v>28.0</v>
      </c>
      <c r="D9" s="15">
        <v>30.0</v>
      </c>
      <c r="E9" s="15">
        <v>29.0</v>
      </c>
      <c r="F9" s="15">
        <v>30.0</v>
      </c>
      <c r="G9" s="15">
        <v>31.0</v>
      </c>
      <c r="H9" s="15">
        <v>30.0</v>
      </c>
      <c r="I9" s="15">
        <v>31.0</v>
      </c>
      <c r="J9" s="15">
        <v>34.0</v>
      </c>
      <c r="N9" s="16">
        <f t="shared" si="1"/>
        <v>85</v>
      </c>
      <c r="O9" s="16">
        <f t="shared" si="2"/>
        <v>90</v>
      </c>
      <c r="P9" s="16">
        <f t="shared" si="3"/>
        <v>95</v>
      </c>
      <c r="Q9" s="16"/>
      <c r="R9" s="16">
        <f t="shared" si="4"/>
        <v>270</v>
      </c>
    </row>
    <row r="10">
      <c r="A10" s="2" t="s">
        <v>207</v>
      </c>
      <c r="B10" s="15">
        <v>19.0</v>
      </c>
      <c r="C10" s="15">
        <v>19.0</v>
      </c>
      <c r="D10" s="15">
        <v>20.0</v>
      </c>
      <c r="E10" s="15">
        <v>20.0</v>
      </c>
      <c r="F10" s="15">
        <v>20.0</v>
      </c>
      <c r="G10" s="15">
        <v>22.0</v>
      </c>
      <c r="H10" s="15">
        <v>21.0</v>
      </c>
      <c r="I10" s="15">
        <v>21.0</v>
      </c>
      <c r="J10" s="15">
        <v>23.0</v>
      </c>
      <c r="N10" s="16">
        <f t="shared" si="1"/>
        <v>58</v>
      </c>
      <c r="O10" s="16">
        <f t="shared" si="2"/>
        <v>62</v>
      </c>
      <c r="P10" s="16">
        <f t="shared" si="3"/>
        <v>65</v>
      </c>
      <c r="Q10" s="16"/>
      <c r="R10" s="16">
        <f t="shared" si="4"/>
        <v>185</v>
      </c>
    </row>
    <row r="11">
      <c r="A11" s="1" t="s">
        <v>208</v>
      </c>
      <c r="B11" s="12">
        <f t="shared" ref="B11:P11" si="5">SUM(B5:B10)</f>
        <v>369</v>
      </c>
      <c r="C11" s="12">
        <f t="shared" si="5"/>
        <v>379</v>
      </c>
      <c r="D11" s="12">
        <f t="shared" si="5"/>
        <v>402</v>
      </c>
      <c r="E11" s="12">
        <f t="shared" si="5"/>
        <v>387</v>
      </c>
      <c r="F11" s="12">
        <f t="shared" si="5"/>
        <v>398</v>
      </c>
      <c r="G11" s="12">
        <f t="shared" si="5"/>
        <v>420</v>
      </c>
      <c r="H11" s="12">
        <f t="shared" si="5"/>
        <v>397</v>
      </c>
      <c r="I11" s="12">
        <f t="shared" si="5"/>
        <v>409</v>
      </c>
      <c r="J11" s="12">
        <f t="shared" si="5"/>
        <v>434</v>
      </c>
      <c r="K11" s="12">
        <f t="shared" si="5"/>
        <v>0</v>
      </c>
      <c r="L11" s="12">
        <f t="shared" si="5"/>
        <v>0</v>
      </c>
      <c r="M11" s="12">
        <f t="shared" si="5"/>
        <v>0</v>
      </c>
      <c r="N11" s="13">
        <f t="shared" si="5"/>
        <v>1150</v>
      </c>
      <c r="O11" s="13">
        <f t="shared" si="5"/>
        <v>1205</v>
      </c>
      <c r="P11" s="13">
        <f t="shared" si="5"/>
        <v>1240</v>
      </c>
      <c r="Q11" s="13"/>
      <c r="R11" s="13">
        <f>SUM(R5:R10)</f>
        <v>3595</v>
      </c>
    </row>
    <row r="14">
      <c r="A14" s="1" t="s">
        <v>209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3"/>
      <c r="O14" s="13"/>
      <c r="P14" s="13"/>
      <c r="Q14" s="13"/>
      <c r="R14" s="13"/>
    </row>
    <row r="15">
      <c r="A15" s="1" t="s">
        <v>184</v>
      </c>
      <c r="B15" s="1" t="s">
        <v>185</v>
      </c>
      <c r="C15" s="1" t="s">
        <v>186</v>
      </c>
      <c r="D15" s="1" t="s">
        <v>187</v>
      </c>
      <c r="E15" s="1" t="s">
        <v>188</v>
      </c>
      <c r="F15" s="1" t="s">
        <v>189</v>
      </c>
      <c r="G15" s="1" t="s">
        <v>190</v>
      </c>
      <c r="H15" s="1" t="s">
        <v>191</v>
      </c>
      <c r="I15" s="1" t="s">
        <v>192</v>
      </c>
      <c r="J15" s="1" t="s">
        <v>193</v>
      </c>
      <c r="K15" s="1" t="s">
        <v>194</v>
      </c>
      <c r="L15" s="1" t="s">
        <v>195</v>
      </c>
      <c r="M15" s="1" t="s">
        <v>196</v>
      </c>
      <c r="N15" s="14" t="s">
        <v>197</v>
      </c>
      <c r="O15" s="14" t="s">
        <v>198</v>
      </c>
      <c r="P15" s="14" t="s">
        <v>199</v>
      </c>
      <c r="Q15" s="14" t="s">
        <v>200</v>
      </c>
      <c r="R15" s="14" t="s">
        <v>201</v>
      </c>
    </row>
    <row r="16">
      <c r="A16" s="2" t="s">
        <v>202</v>
      </c>
      <c r="B16" s="15">
        <v>109.0</v>
      </c>
      <c r="C16" s="15">
        <v>113.0</v>
      </c>
      <c r="D16" s="15">
        <v>120.0</v>
      </c>
      <c r="E16" s="15">
        <v>113.0</v>
      </c>
      <c r="F16" s="15">
        <v>116.0</v>
      </c>
      <c r="G16" s="15">
        <v>124.0</v>
      </c>
      <c r="H16" s="15">
        <v>114.0</v>
      </c>
      <c r="I16" s="15">
        <v>117.0</v>
      </c>
      <c r="J16" s="15">
        <v>124.0</v>
      </c>
      <c r="K16" s="15">
        <v>116.0</v>
      </c>
      <c r="L16" s="15">
        <v>120.0</v>
      </c>
      <c r="M16" s="15">
        <v>127.0</v>
      </c>
      <c r="N16" s="16">
        <f t="shared" ref="N16:N21" si="6">SUM(B16:D16)</f>
        <v>342</v>
      </c>
      <c r="O16" s="16">
        <f t="shared" ref="O16:O21" si="7">SUM(E16:G16)</f>
        <v>353</v>
      </c>
      <c r="P16" s="16">
        <f t="shared" ref="P16:P21" si="8">SUM(H16:J16)</f>
        <v>355</v>
      </c>
      <c r="Q16" s="16">
        <f t="shared" ref="Q16:Q21" si="9">SUM(K16:M16)</f>
        <v>363</v>
      </c>
      <c r="R16" s="16">
        <f t="shared" ref="R16:R21" si="10">SUM(B16:M16)</f>
        <v>1413</v>
      </c>
    </row>
    <row r="17">
      <c r="A17" s="2" t="s">
        <v>203</v>
      </c>
      <c r="B17" s="15">
        <v>95.0</v>
      </c>
      <c r="C17" s="15">
        <v>98.0</v>
      </c>
      <c r="D17" s="15">
        <v>104.0</v>
      </c>
      <c r="E17" s="15">
        <v>97.0</v>
      </c>
      <c r="F17" s="15">
        <v>100.0</v>
      </c>
      <c r="G17" s="15">
        <v>107.0</v>
      </c>
      <c r="H17" s="15">
        <v>98.0</v>
      </c>
      <c r="I17" s="15">
        <v>101.0</v>
      </c>
      <c r="J17" s="15">
        <v>106.0</v>
      </c>
      <c r="K17" s="15">
        <v>100.0</v>
      </c>
      <c r="L17" s="15">
        <v>103.0</v>
      </c>
      <c r="M17" s="15">
        <v>110.0</v>
      </c>
      <c r="N17" s="16">
        <f t="shared" si="6"/>
        <v>297</v>
      </c>
      <c r="O17" s="16">
        <f t="shared" si="7"/>
        <v>304</v>
      </c>
      <c r="P17" s="16">
        <f t="shared" si="8"/>
        <v>305</v>
      </c>
      <c r="Q17" s="16">
        <f t="shared" si="9"/>
        <v>313</v>
      </c>
      <c r="R17" s="16">
        <f t="shared" si="10"/>
        <v>1219</v>
      </c>
    </row>
    <row r="18">
      <c r="A18" s="2" t="s">
        <v>204</v>
      </c>
      <c r="B18" s="15">
        <v>84.0</v>
      </c>
      <c r="C18" s="15">
        <v>87.0</v>
      </c>
      <c r="D18" s="15">
        <v>92.0</v>
      </c>
      <c r="E18" s="15">
        <v>87.0</v>
      </c>
      <c r="F18" s="15">
        <v>90.0</v>
      </c>
      <c r="G18" s="15">
        <v>95.0</v>
      </c>
      <c r="H18" s="15">
        <v>90.0</v>
      </c>
      <c r="I18" s="15">
        <v>92.0</v>
      </c>
      <c r="J18" s="15">
        <v>98.0</v>
      </c>
      <c r="K18" s="15">
        <v>93.0</v>
      </c>
      <c r="L18" s="15">
        <v>96.0</v>
      </c>
      <c r="M18" s="15">
        <v>101.0</v>
      </c>
      <c r="N18" s="16">
        <f t="shared" si="6"/>
        <v>263</v>
      </c>
      <c r="O18" s="16">
        <f t="shared" si="7"/>
        <v>272</v>
      </c>
      <c r="P18" s="16">
        <f t="shared" si="8"/>
        <v>280</v>
      </c>
      <c r="Q18" s="16">
        <f t="shared" si="9"/>
        <v>290</v>
      </c>
      <c r="R18" s="16">
        <f t="shared" si="10"/>
        <v>1105</v>
      </c>
    </row>
    <row r="19">
      <c r="A19" s="2" t="s">
        <v>205</v>
      </c>
      <c r="B19" s="15">
        <v>35.0</v>
      </c>
      <c r="C19" s="15">
        <v>36.0</v>
      </c>
      <c r="D19" s="15">
        <v>37.0</v>
      </c>
      <c r="E19" s="15">
        <v>36.0</v>
      </c>
      <c r="F19" s="15">
        <v>38.0</v>
      </c>
      <c r="G19" s="15">
        <v>40.0</v>
      </c>
      <c r="H19" s="15">
        <v>38.0</v>
      </c>
      <c r="I19" s="15">
        <v>39.0</v>
      </c>
      <c r="J19" s="15">
        <v>41.0</v>
      </c>
      <c r="K19" s="15">
        <v>40.0</v>
      </c>
      <c r="L19" s="15">
        <v>41.0</v>
      </c>
      <c r="M19" s="15">
        <v>43.0</v>
      </c>
      <c r="N19" s="16">
        <f t="shared" si="6"/>
        <v>108</v>
      </c>
      <c r="O19" s="16">
        <f t="shared" si="7"/>
        <v>114</v>
      </c>
      <c r="P19" s="16">
        <f t="shared" si="8"/>
        <v>118</v>
      </c>
      <c r="Q19" s="16">
        <f t="shared" si="9"/>
        <v>124</v>
      </c>
      <c r="R19" s="16">
        <f t="shared" si="10"/>
        <v>464</v>
      </c>
    </row>
    <row r="20">
      <c r="A20" s="2" t="s">
        <v>206</v>
      </c>
      <c r="B20" s="15">
        <v>26.0</v>
      </c>
      <c r="C20" s="15">
        <v>26.0</v>
      </c>
      <c r="D20" s="15">
        <v>28.0</v>
      </c>
      <c r="E20" s="15">
        <v>27.0</v>
      </c>
      <c r="F20" s="15">
        <v>28.0</v>
      </c>
      <c r="G20" s="15">
        <v>29.0</v>
      </c>
      <c r="H20" s="15">
        <v>28.0</v>
      </c>
      <c r="I20" s="15">
        <v>29.0</v>
      </c>
      <c r="J20" s="15">
        <v>30.0</v>
      </c>
      <c r="K20" s="15">
        <v>29.0</v>
      </c>
      <c r="L20" s="15">
        <v>30.0</v>
      </c>
      <c r="M20" s="15">
        <v>33.0</v>
      </c>
      <c r="N20" s="16">
        <f t="shared" si="6"/>
        <v>80</v>
      </c>
      <c r="O20" s="16">
        <f t="shared" si="7"/>
        <v>84</v>
      </c>
      <c r="P20" s="16">
        <f t="shared" si="8"/>
        <v>87</v>
      </c>
      <c r="Q20" s="16">
        <f t="shared" si="9"/>
        <v>92</v>
      </c>
      <c r="R20" s="16">
        <f t="shared" si="10"/>
        <v>343</v>
      </c>
    </row>
    <row r="21">
      <c r="A21" s="2" t="s">
        <v>207</v>
      </c>
      <c r="B21" s="15">
        <v>16.0</v>
      </c>
      <c r="C21" s="15">
        <v>17.0</v>
      </c>
      <c r="D21" s="15">
        <v>17.0</v>
      </c>
      <c r="E21" s="15">
        <v>17.0</v>
      </c>
      <c r="F21" s="15">
        <v>17.0</v>
      </c>
      <c r="G21" s="15">
        <v>19.0</v>
      </c>
      <c r="H21" s="15">
        <v>18.0</v>
      </c>
      <c r="I21" s="15">
        <v>18.0</v>
      </c>
      <c r="J21" s="15">
        <v>19.0</v>
      </c>
      <c r="K21" s="15">
        <v>19.0</v>
      </c>
      <c r="L21" s="15">
        <v>19.0</v>
      </c>
      <c r="M21" s="15">
        <v>20.0</v>
      </c>
      <c r="N21" s="16">
        <f t="shared" si="6"/>
        <v>50</v>
      </c>
      <c r="O21" s="16">
        <f t="shared" si="7"/>
        <v>53</v>
      </c>
      <c r="P21" s="16">
        <f t="shared" si="8"/>
        <v>55</v>
      </c>
      <c r="Q21" s="16">
        <f t="shared" si="9"/>
        <v>58</v>
      </c>
      <c r="R21" s="16">
        <f t="shared" si="10"/>
        <v>216</v>
      </c>
    </row>
    <row r="22">
      <c r="A22" s="1" t="s">
        <v>210</v>
      </c>
      <c r="B22" s="12">
        <f t="shared" ref="B22:R22" si="11">SUM(B16:B21)</f>
        <v>365</v>
      </c>
      <c r="C22" s="12">
        <f t="shared" si="11"/>
        <v>377</v>
      </c>
      <c r="D22" s="12">
        <f t="shared" si="11"/>
        <v>398</v>
      </c>
      <c r="E22" s="12">
        <f t="shared" si="11"/>
        <v>377</v>
      </c>
      <c r="F22" s="12">
        <f t="shared" si="11"/>
        <v>389</v>
      </c>
      <c r="G22" s="12">
        <f t="shared" si="11"/>
        <v>414</v>
      </c>
      <c r="H22" s="12">
        <f t="shared" si="11"/>
        <v>386</v>
      </c>
      <c r="I22" s="12">
        <f t="shared" si="11"/>
        <v>396</v>
      </c>
      <c r="J22" s="12">
        <f t="shared" si="11"/>
        <v>418</v>
      </c>
      <c r="K22" s="12">
        <f t="shared" si="11"/>
        <v>397</v>
      </c>
      <c r="L22" s="12">
        <f t="shared" si="11"/>
        <v>409</v>
      </c>
      <c r="M22" s="12">
        <f t="shared" si="11"/>
        <v>434</v>
      </c>
      <c r="N22" s="13">
        <f t="shared" si="11"/>
        <v>1140</v>
      </c>
      <c r="O22" s="13">
        <f t="shared" si="11"/>
        <v>1180</v>
      </c>
      <c r="P22" s="13">
        <f t="shared" si="11"/>
        <v>1200</v>
      </c>
      <c r="Q22" s="13">
        <f t="shared" si="11"/>
        <v>1240</v>
      </c>
      <c r="R22" s="13">
        <f t="shared" si="11"/>
        <v>4760</v>
      </c>
    </row>
    <row r="25">
      <c r="A25" s="1" t="s">
        <v>211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3"/>
      <c r="O25" s="13"/>
      <c r="P25" s="13"/>
      <c r="Q25" s="13"/>
      <c r="R25" s="13"/>
      <c r="S25" s="12"/>
    </row>
    <row r="26">
      <c r="A26" s="1" t="s">
        <v>184</v>
      </c>
      <c r="B26" s="1" t="s">
        <v>185</v>
      </c>
      <c r="C26" s="1" t="s">
        <v>186</v>
      </c>
      <c r="D26" s="1" t="s">
        <v>187</v>
      </c>
      <c r="E26" s="1" t="s">
        <v>188</v>
      </c>
      <c r="F26" s="1" t="s">
        <v>189</v>
      </c>
      <c r="G26" s="1" t="s">
        <v>190</v>
      </c>
      <c r="H26" s="1" t="s">
        <v>191</v>
      </c>
      <c r="I26" s="1" t="s">
        <v>192</v>
      </c>
      <c r="J26" s="1" t="s">
        <v>193</v>
      </c>
      <c r="K26" s="1" t="s">
        <v>194</v>
      </c>
      <c r="L26" s="1" t="s">
        <v>195</v>
      </c>
      <c r="M26" s="1" t="s">
        <v>196</v>
      </c>
      <c r="N26" s="14" t="s">
        <v>197</v>
      </c>
      <c r="O26" s="14" t="s">
        <v>198</v>
      </c>
      <c r="P26" s="14" t="s">
        <v>199</v>
      </c>
      <c r="Q26" s="14" t="s">
        <v>200</v>
      </c>
      <c r="R26" s="14" t="s">
        <v>201</v>
      </c>
      <c r="S26" s="1" t="s">
        <v>212</v>
      </c>
    </row>
    <row r="27">
      <c r="A27" s="2" t="s">
        <v>213</v>
      </c>
      <c r="B27" s="15">
        <v>154.0</v>
      </c>
      <c r="C27" s="15">
        <v>158.0</v>
      </c>
      <c r="D27" s="15">
        <v>168.0</v>
      </c>
      <c r="E27" s="15">
        <v>160.0</v>
      </c>
      <c r="F27" s="15">
        <v>165.0</v>
      </c>
      <c r="G27" s="15">
        <v>175.0</v>
      </c>
      <c r="H27" s="15">
        <v>167.0</v>
      </c>
      <c r="I27" s="15">
        <v>172.0</v>
      </c>
      <c r="J27" s="15">
        <v>182.0</v>
      </c>
      <c r="N27" s="16">
        <f t="shared" ref="N27:N30" si="12">SUM(B27:D27)</f>
        <v>480</v>
      </c>
      <c r="O27" s="16">
        <f t="shared" ref="O27:O30" si="13">SUM(E27:G27)</f>
        <v>500</v>
      </c>
      <c r="P27" s="16">
        <f t="shared" ref="P27:P30" si="14">SUM(H27:J27)</f>
        <v>521</v>
      </c>
      <c r="Q27" s="16"/>
      <c r="R27" s="16">
        <f t="shared" ref="R27:R30" si="15">SUM(B27:M27)</f>
        <v>1501</v>
      </c>
      <c r="S27" s="8">
        <f>IFERROR(P27/P31,0)</f>
        <v>0.4201612903</v>
      </c>
    </row>
    <row r="28">
      <c r="A28" s="2" t="s">
        <v>214</v>
      </c>
      <c r="B28" s="15">
        <v>102.0</v>
      </c>
      <c r="C28" s="15">
        <v>106.0</v>
      </c>
      <c r="D28" s="15">
        <v>112.0</v>
      </c>
      <c r="E28" s="15">
        <v>107.0</v>
      </c>
      <c r="F28" s="15">
        <v>111.0</v>
      </c>
      <c r="G28" s="15">
        <v>117.0</v>
      </c>
      <c r="H28" s="15">
        <v>111.0</v>
      </c>
      <c r="I28" s="15">
        <v>115.0</v>
      </c>
      <c r="J28" s="15">
        <v>121.0</v>
      </c>
      <c r="N28" s="16">
        <f t="shared" si="12"/>
        <v>320</v>
      </c>
      <c r="O28" s="16">
        <f t="shared" si="13"/>
        <v>335</v>
      </c>
      <c r="P28" s="16">
        <f t="shared" si="14"/>
        <v>347</v>
      </c>
      <c r="Q28" s="16"/>
      <c r="R28" s="16">
        <f t="shared" si="15"/>
        <v>1002</v>
      </c>
      <c r="S28" s="8">
        <f>IFERROR(P28/P31,0)</f>
        <v>0.2798387097</v>
      </c>
    </row>
    <row r="29">
      <c r="A29" s="2" t="s">
        <v>215</v>
      </c>
      <c r="B29" s="15">
        <v>66.0</v>
      </c>
      <c r="C29" s="15">
        <v>68.0</v>
      </c>
      <c r="D29" s="15">
        <v>71.0</v>
      </c>
      <c r="E29" s="15">
        <v>69.0</v>
      </c>
      <c r="F29" s="15">
        <v>71.0</v>
      </c>
      <c r="G29" s="15">
        <v>75.0</v>
      </c>
      <c r="H29" s="15">
        <v>71.0</v>
      </c>
      <c r="I29" s="15">
        <v>74.0</v>
      </c>
      <c r="J29" s="15">
        <v>78.0</v>
      </c>
      <c r="N29" s="16">
        <f t="shared" si="12"/>
        <v>205</v>
      </c>
      <c r="O29" s="16">
        <f t="shared" si="13"/>
        <v>215</v>
      </c>
      <c r="P29" s="16">
        <f t="shared" si="14"/>
        <v>223</v>
      </c>
      <c r="Q29" s="16"/>
      <c r="R29" s="16">
        <f t="shared" si="15"/>
        <v>643</v>
      </c>
      <c r="S29" s="8">
        <f>IFERROR(P29/P31,0)</f>
        <v>0.1798387097</v>
      </c>
    </row>
    <row r="30">
      <c r="A30" s="2" t="s">
        <v>216</v>
      </c>
      <c r="B30" s="15">
        <v>43.0</v>
      </c>
      <c r="C30" s="15">
        <v>45.0</v>
      </c>
      <c r="D30" s="15">
        <v>47.0</v>
      </c>
      <c r="E30" s="15">
        <v>46.0</v>
      </c>
      <c r="F30" s="15">
        <v>47.0</v>
      </c>
      <c r="G30" s="15">
        <v>50.0</v>
      </c>
      <c r="H30" s="15">
        <v>48.0</v>
      </c>
      <c r="I30" s="15">
        <v>49.0</v>
      </c>
      <c r="J30" s="15">
        <v>52.0</v>
      </c>
      <c r="N30" s="16">
        <f t="shared" si="12"/>
        <v>135</v>
      </c>
      <c r="O30" s="16">
        <f t="shared" si="13"/>
        <v>143</v>
      </c>
      <c r="P30" s="16">
        <f t="shared" si="14"/>
        <v>149</v>
      </c>
      <c r="Q30" s="16"/>
      <c r="R30" s="16">
        <f t="shared" si="15"/>
        <v>427</v>
      </c>
      <c r="S30" s="8">
        <f>IFERROR(P30/P31,0)</f>
        <v>0.1201612903</v>
      </c>
    </row>
    <row r="31">
      <c r="A31" s="1" t="s">
        <v>208</v>
      </c>
      <c r="B31" s="12">
        <f t="shared" ref="B31:P31" si="16">SUM(B27:B30)</f>
        <v>365</v>
      </c>
      <c r="C31" s="12">
        <f t="shared" si="16"/>
        <v>377</v>
      </c>
      <c r="D31" s="12">
        <f t="shared" si="16"/>
        <v>398</v>
      </c>
      <c r="E31" s="12">
        <f t="shared" si="16"/>
        <v>382</v>
      </c>
      <c r="F31" s="12">
        <f t="shared" si="16"/>
        <v>394</v>
      </c>
      <c r="G31" s="12">
        <f t="shared" si="16"/>
        <v>417</v>
      </c>
      <c r="H31" s="12">
        <f t="shared" si="16"/>
        <v>397</v>
      </c>
      <c r="I31" s="12">
        <f t="shared" si="16"/>
        <v>410</v>
      </c>
      <c r="J31" s="12">
        <f t="shared" si="16"/>
        <v>433</v>
      </c>
      <c r="K31" s="12">
        <f t="shared" si="16"/>
        <v>0</v>
      </c>
      <c r="L31" s="12">
        <f t="shared" si="16"/>
        <v>0</v>
      </c>
      <c r="M31" s="12">
        <f t="shared" si="16"/>
        <v>0</v>
      </c>
      <c r="N31" s="13">
        <f t="shared" si="16"/>
        <v>1140</v>
      </c>
      <c r="O31" s="13">
        <f t="shared" si="16"/>
        <v>1193</v>
      </c>
      <c r="P31" s="13">
        <f t="shared" si="16"/>
        <v>1240</v>
      </c>
      <c r="Q31" s="13"/>
      <c r="R31" s="13">
        <f>SUM(R27:R30)</f>
        <v>3573</v>
      </c>
      <c r="S31" s="17">
        <v>1.0</v>
      </c>
    </row>
    <row r="34">
      <c r="A34" s="1" t="s">
        <v>217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3"/>
      <c r="O34" s="13"/>
      <c r="P34" s="13"/>
      <c r="Q34" s="13"/>
      <c r="R34" s="13"/>
      <c r="S34" s="12"/>
    </row>
    <row r="35">
      <c r="A35" s="1" t="s">
        <v>184</v>
      </c>
      <c r="B35" s="1" t="s">
        <v>185</v>
      </c>
      <c r="C35" s="1" t="s">
        <v>186</v>
      </c>
      <c r="D35" s="1" t="s">
        <v>187</v>
      </c>
      <c r="E35" s="1" t="s">
        <v>188</v>
      </c>
      <c r="F35" s="1" t="s">
        <v>189</v>
      </c>
      <c r="G35" s="1" t="s">
        <v>190</v>
      </c>
      <c r="H35" s="1" t="s">
        <v>191</v>
      </c>
      <c r="I35" s="1" t="s">
        <v>192</v>
      </c>
      <c r="J35" s="1" t="s">
        <v>193</v>
      </c>
      <c r="K35" s="1" t="s">
        <v>194</v>
      </c>
      <c r="L35" s="1" t="s">
        <v>195</v>
      </c>
      <c r="M35" s="1" t="s">
        <v>196</v>
      </c>
      <c r="N35" s="14" t="s">
        <v>197</v>
      </c>
      <c r="O35" s="14" t="s">
        <v>198</v>
      </c>
      <c r="P35" s="14" t="s">
        <v>199</v>
      </c>
      <c r="Q35" s="14" t="s">
        <v>200</v>
      </c>
      <c r="R35" s="14" t="s">
        <v>201</v>
      </c>
      <c r="S35" s="1" t="s">
        <v>218</v>
      </c>
    </row>
    <row r="36">
      <c r="A36" s="2" t="s">
        <v>219</v>
      </c>
      <c r="B36" s="15">
        <v>221.0</v>
      </c>
      <c r="C36" s="15">
        <v>228.0</v>
      </c>
      <c r="D36" s="15">
        <v>241.0</v>
      </c>
      <c r="E36" s="15">
        <v>230.0</v>
      </c>
      <c r="F36" s="15">
        <v>237.0</v>
      </c>
      <c r="G36" s="15">
        <v>251.0</v>
      </c>
      <c r="H36" s="15">
        <v>238.0</v>
      </c>
      <c r="I36" s="15">
        <v>246.0</v>
      </c>
      <c r="J36" s="15">
        <v>260.0</v>
      </c>
      <c r="N36" s="16">
        <f t="shared" ref="N36:N39" si="17">SUM(B36:D36)</f>
        <v>690</v>
      </c>
      <c r="O36" s="16">
        <f t="shared" ref="O36:O39" si="18">SUM(E36:G36)</f>
        <v>718</v>
      </c>
      <c r="P36" s="16">
        <f t="shared" ref="P36:P39" si="19">SUM(H36:J36)</f>
        <v>744</v>
      </c>
      <c r="Q36" s="16"/>
      <c r="R36" s="16">
        <f t="shared" ref="R36:R39" si="20">SUM(B36:M36)</f>
        <v>2152</v>
      </c>
      <c r="S36" s="9">
        <f>IFERROR(P36/MAX(P36:P39),0)</f>
        <v>1</v>
      </c>
    </row>
    <row r="37">
      <c r="A37" s="2" t="s">
        <v>220</v>
      </c>
      <c r="B37" s="15">
        <v>92.0</v>
      </c>
      <c r="C37" s="15">
        <v>95.0</v>
      </c>
      <c r="D37" s="15">
        <v>101.0</v>
      </c>
      <c r="E37" s="15">
        <v>96.0</v>
      </c>
      <c r="F37" s="15">
        <v>99.0</v>
      </c>
      <c r="G37" s="15">
        <v>105.0</v>
      </c>
      <c r="H37" s="15">
        <v>99.0</v>
      </c>
      <c r="I37" s="15">
        <v>102.0</v>
      </c>
      <c r="J37" s="15">
        <v>109.0</v>
      </c>
      <c r="N37" s="16">
        <f t="shared" si="17"/>
        <v>288</v>
      </c>
      <c r="O37" s="16">
        <f t="shared" si="18"/>
        <v>300</v>
      </c>
      <c r="P37" s="16">
        <f t="shared" si="19"/>
        <v>310</v>
      </c>
      <c r="Q37" s="16"/>
      <c r="R37" s="16">
        <f t="shared" si="20"/>
        <v>898</v>
      </c>
      <c r="S37" s="9">
        <f>IFERROR(P37/MAX(P36:P39),0)</f>
        <v>0.4166666667</v>
      </c>
    </row>
    <row r="38">
      <c r="A38" s="2" t="s">
        <v>221</v>
      </c>
      <c r="B38" s="15">
        <v>44.0</v>
      </c>
      <c r="C38" s="15">
        <v>46.0</v>
      </c>
      <c r="D38" s="15">
        <v>48.0</v>
      </c>
      <c r="E38" s="15">
        <v>46.0</v>
      </c>
      <c r="F38" s="15">
        <v>48.0</v>
      </c>
      <c r="G38" s="15">
        <v>50.0</v>
      </c>
      <c r="H38" s="15">
        <v>48.0</v>
      </c>
      <c r="I38" s="15">
        <v>49.0</v>
      </c>
      <c r="J38" s="15">
        <v>52.0</v>
      </c>
      <c r="N38" s="16">
        <f t="shared" si="17"/>
        <v>138</v>
      </c>
      <c r="O38" s="16">
        <f t="shared" si="18"/>
        <v>144</v>
      </c>
      <c r="P38" s="16">
        <f t="shared" si="19"/>
        <v>149</v>
      </c>
      <c r="Q38" s="16"/>
      <c r="R38" s="16">
        <f t="shared" si="20"/>
        <v>431</v>
      </c>
      <c r="S38" s="9">
        <f>IFERROR(P38/MAX(P36:P39),0)</f>
        <v>0.2002688172</v>
      </c>
    </row>
    <row r="39">
      <c r="A39" s="2" t="s">
        <v>216</v>
      </c>
      <c r="B39" s="15">
        <v>11.0</v>
      </c>
      <c r="C39" s="15">
        <v>11.0</v>
      </c>
      <c r="D39" s="15">
        <v>12.0</v>
      </c>
      <c r="E39" s="15">
        <v>12.0</v>
      </c>
      <c r="F39" s="15">
        <v>12.0</v>
      </c>
      <c r="G39" s="15">
        <v>12.0</v>
      </c>
      <c r="H39" s="15">
        <v>12.0</v>
      </c>
      <c r="I39" s="15">
        <v>12.0</v>
      </c>
      <c r="J39" s="15">
        <v>13.0</v>
      </c>
      <c r="N39" s="16">
        <f t="shared" si="17"/>
        <v>34</v>
      </c>
      <c r="O39" s="16">
        <f t="shared" si="18"/>
        <v>36</v>
      </c>
      <c r="P39" s="16">
        <f t="shared" si="19"/>
        <v>37</v>
      </c>
      <c r="Q39" s="16"/>
      <c r="R39" s="16">
        <f t="shared" si="20"/>
        <v>107</v>
      </c>
      <c r="S39" s="9">
        <f>IFERROR(P39/MAX(P36:P39),0)</f>
        <v>0.0497311828</v>
      </c>
    </row>
    <row r="40">
      <c r="A40" s="1" t="s">
        <v>208</v>
      </c>
      <c r="B40" s="12">
        <f t="shared" ref="B40:P40" si="21">SUM(B36:B39)</f>
        <v>368</v>
      </c>
      <c r="C40" s="12">
        <f t="shared" si="21"/>
        <v>380</v>
      </c>
      <c r="D40" s="12">
        <f t="shared" si="21"/>
        <v>402</v>
      </c>
      <c r="E40" s="12">
        <f t="shared" si="21"/>
        <v>384</v>
      </c>
      <c r="F40" s="12">
        <f t="shared" si="21"/>
        <v>396</v>
      </c>
      <c r="G40" s="12">
        <f t="shared" si="21"/>
        <v>418</v>
      </c>
      <c r="H40" s="12">
        <f t="shared" si="21"/>
        <v>397</v>
      </c>
      <c r="I40" s="12">
        <f t="shared" si="21"/>
        <v>409</v>
      </c>
      <c r="J40" s="12">
        <f t="shared" si="21"/>
        <v>434</v>
      </c>
      <c r="K40" s="12">
        <f t="shared" si="21"/>
        <v>0</v>
      </c>
      <c r="L40" s="12">
        <f t="shared" si="21"/>
        <v>0</v>
      </c>
      <c r="M40" s="12">
        <f t="shared" si="21"/>
        <v>0</v>
      </c>
      <c r="N40" s="13">
        <f t="shared" si="21"/>
        <v>1150</v>
      </c>
      <c r="O40" s="13">
        <f t="shared" si="21"/>
        <v>1198</v>
      </c>
      <c r="P40" s="13">
        <f t="shared" si="21"/>
        <v>1240</v>
      </c>
      <c r="Q40" s="13"/>
      <c r="R40" s="13">
        <f>SUM(R36:R39)</f>
        <v>3588</v>
      </c>
      <c r="S40" s="12"/>
    </row>
  </sheetData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75"/>
  <cols>
    <col customWidth="1" min="1" max="1" width="26.38"/>
    <col customWidth="1" min="2" max="2" width="42.63"/>
    <col customWidth="1" min="3" max="3" width="3.75"/>
    <col customWidth="1" min="4" max="4" width="3.88"/>
    <col customWidth="1" min="5" max="5" width="3.75"/>
    <col customWidth="1" min="6" max="6" width="4.0"/>
    <col customWidth="1" min="7" max="8" width="3.75"/>
    <col customWidth="1" min="9" max="9" width="3.88"/>
    <col customWidth="1" min="10" max="11" width="3.75"/>
    <col customWidth="1" min="12" max="12" width="3.88"/>
    <col customWidth="1" min="13" max="13" width="3.75"/>
    <col customWidth="1" min="14" max="17" width="4.5"/>
    <col customWidth="1" min="18" max="18" width="4.63"/>
  </cols>
  <sheetData>
    <row r="1">
      <c r="A1" s="1" t="s">
        <v>222</v>
      </c>
    </row>
    <row r="3">
      <c r="A3" s="1" t="s">
        <v>223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3"/>
    </row>
    <row r="4">
      <c r="A4" s="1" t="s">
        <v>224</v>
      </c>
      <c r="B4" s="1" t="s">
        <v>185</v>
      </c>
      <c r="C4" s="1" t="s">
        <v>186</v>
      </c>
      <c r="D4" s="1" t="s">
        <v>187</v>
      </c>
      <c r="E4" s="1" t="s">
        <v>188</v>
      </c>
      <c r="F4" s="1" t="s">
        <v>189</v>
      </c>
      <c r="G4" s="1" t="s">
        <v>190</v>
      </c>
      <c r="H4" s="1" t="s">
        <v>191</v>
      </c>
      <c r="I4" s="1" t="s">
        <v>192</v>
      </c>
      <c r="J4" s="1" t="s">
        <v>193</v>
      </c>
      <c r="K4" s="1" t="s">
        <v>194</v>
      </c>
      <c r="L4" s="1" t="s">
        <v>195</v>
      </c>
      <c r="M4" s="1" t="s">
        <v>196</v>
      </c>
      <c r="N4" s="14" t="s">
        <v>197</v>
      </c>
      <c r="O4" s="14" t="s">
        <v>198</v>
      </c>
      <c r="P4" s="14" t="s">
        <v>199</v>
      </c>
      <c r="Q4" s="14" t="s">
        <v>200</v>
      </c>
      <c r="R4" s="14" t="s">
        <v>201</v>
      </c>
    </row>
    <row r="5">
      <c r="A5" s="2" t="s">
        <v>29</v>
      </c>
      <c r="B5" s="15">
        <f>'Revenue Detail'!B11</f>
        <v>369</v>
      </c>
      <c r="C5" s="15">
        <f>'Revenue Detail'!C11</f>
        <v>379</v>
      </c>
      <c r="D5" s="15">
        <f>'Revenue Detail'!D11</f>
        <v>402</v>
      </c>
      <c r="E5" s="15">
        <f>'Revenue Detail'!E11</f>
        <v>387</v>
      </c>
      <c r="F5" s="15">
        <f>'Revenue Detail'!F11</f>
        <v>398</v>
      </c>
      <c r="G5" s="15">
        <f>'Revenue Detail'!G11</f>
        <v>420</v>
      </c>
      <c r="H5" s="15">
        <f>'Revenue Detail'!H11</f>
        <v>397</v>
      </c>
      <c r="I5" s="15">
        <f>'Revenue Detail'!I11</f>
        <v>409</v>
      </c>
      <c r="J5" s="15">
        <f>'Revenue Detail'!J11</f>
        <v>434</v>
      </c>
      <c r="N5" s="16">
        <f t="shared" ref="N5:N6" si="1">SUM(B5:D5)</f>
        <v>1150</v>
      </c>
      <c r="O5" s="16">
        <f t="shared" ref="O5:O6" si="2">SUM(E5:G5)</f>
        <v>1205</v>
      </c>
      <c r="P5" s="16">
        <f t="shared" ref="P5:P6" si="3">SUM(H5:J5)</f>
        <v>1240</v>
      </c>
      <c r="Q5" s="16"/>
      <c r="R5" s="16">
        <f t="shared" ref="R5:R6" si="4">SUM(B5:M5)</f>
        <v>3595</v>
      </c>
    </row>
    <row r="6">
      <c r="A6" s="2" t="s">
        <v>30</v>
      </c>
      <c r="B6" s="15">
        <v>158.0</v>
      </c>
      <c r="C6" s="15">
        <v>163.0</v>
      </c>
      <c r="D6" s="15">
        <v>174.0</v>
      </c>
      <c r="E6" s="15">
        <v>163.0</v>
      </c>
      <c r="F6" s="15">
        <v>168.0</v>
      </c>
      <c r="G6" s="15">
        <v>179.0</v>
      </c>
      <c r="H6" s="15">
        <v>166.0</v>
      </c>
      <c r="I6" s="15">
        <v>172.0</v>
      </c>
      <c r="J6" s="15">
        <v>182.0</v>
      </c>
      <c r="N6" s="16">
        <f t="shared" si="1"/>
        <v>495</v>
      </c>
      <c r="O6" s="16">
        <f t="shared" si="2"/>
        <v>510</v>
      </c>
      <c r="P6" s="16">
        <f t="shared" si="3"/>
        <v>520</v>
      </c>
      <c r="Q6" s="16"/>
      <c r="R6" s="16">
        <f t="shared" si="4"/>
        <v>1525</v>
      </c>
    </row>
    <row r="7">
      <c r="A7" s="1" t="s">
        <v>31</v>
      </c>
      <c r="B7" s="12">
        <f t="shared" ref="B7:P7" si="5">B5-B6</f>
        <v>211</v>
      </c>
      <c r="C7" s="12">
        <f t="shared" si="5"/>
        <v>216</v>
      </c>
      <c r="D7" s="12">
        <f t="shared" si="5"/>
        <v>228</v>
      </c>
      <c r="E7" s="12">
        <f t="shared" si="5"/>
        <v>224</v>
      </c>
      <c r="F7" s="12">
        <f t="shared" si="5"/>
        <v>230</v>
      </c>
      <c r="G7" s="12">
        <f t="shared" si="5"/>
        <v>241</v>
      </c>
      <c r="H7" s="12">
        <f t="shared" si="5"/>
        <v>231</v>
      </c>
      <c r="I7" s="12">
        <f t="shared" si="5"/>
        <v>237</v>
      </c>
      <c r="J7" s="12">
        <f t="shared" si="5"/>
        <v>252</v>
      </c>
      <c r="K7" s="12">
        <f t="shared" si="5"/>
        <v>0</v>
      </c>
      <c r="L7" s="12">
        <f t="shared" si="5"/>
        <v>0</v>
      </c>
      <c r="M7" s="12">
        <f t="shared" si="5"/>
        <v>0</v>
      </c>
      <c r="N7" s="13">
        <f t="shared" si="5"/>
        <v>655</v>
      </c>
      <c r="O7" s="13">
        <f t="shared" si="5"/>
        <v>695</v>
      </c>
      <c r="P7" s="13">
        <f t="shared" si="5"/>
        <v>720</v>
      </c>
      <c r="Q7" s="13"/>
      <c r="R7" s="13">
        <f>R5-R6</f>
        <v>2070</v>
      </c>
    </row>
    <row r="8">
      <c r="A8" s="2" t="s">
        <v>225</v>
      </c>
      <c r="B8" s="15">
        <v>59.0</v>
      </c>
      <c r="C8" s="15">
        <v>61.0</v>
      </c>
      <c r="D8" s="15">
        <v>65.0</v>
      </c>
      <c r="E8" s="15">
        <v>60.0</v>
      </c>
      <c r="F8" s="15">
        <v>62.0</v>
      </c>
      <c r="G8" s="15">
        <v>67.0</v>
      </c>
      <c r="H8" s="15">
        <v>62.0</v>
      </c>
      <c r="I8" s="15">
        <v>64.0</v>
      </c>
      <c r="J8" s="15">
        <v>68.0</v>
      </c>
      <c r="N8" s="16">
        <f t="shared" ref="N8:N10" si="6">SUM(B8:D8)</f>
        <v>185</v>
      </c>
      <c r="O8" s="16">
        <f t="shared" ref="O8:O10" si="7">SUM(E8:G8)</f>
        <v>189</v>
      </c>
      <c r="P8" s="16">
        <f t="shared" ref="P8:P10" si="8">SUM(H8:J8)</f>
        <v>194</v>
      </c>
      <c r="Q8" s="16"/>
      <c r="R8" s="16">
        <f t="shared" ref="R8:R10" si="9">SUM(B8:M8)</f>
        <v>568</v>
      </c>
    </row>
    <row r="9">
      <c r="A9" s="2" t="s">
        <v>226</v>
      </c>
      <c r="B9" s="15">
        <v>46.0</v>
      </c>
      <c r="C9" s="15">
        <v>47.0</v>
      </c>
      <c r="D9" s="15">
        <v>50.0</v>
      </c>
      <c r="E9" s="15">
        <v>47.0</v>
      </c>
      <c r="F9" s="15">
        <v>49.0</v>
      </c>
      <c r="G9" s="15">
        <v>51.0</v>
      </c>
      <c r="H9" s="15">
        <v>48.0</v>
      </c>
      <c r="I9" s="15">
        <v>50.0</v>
      </c>
      <c r="J9" s="15">
        <v>52.0</v>
      </c>
      <c r="N9" s="16">
        <f t="shared" si="6"/>
        <v>143</v>
      </c>
      <c r="O9" s="16">
        <f t="shared" si="7"/>
        <v>147</v>
      </c>
      <c r="P9" s="16">
        <f t="shared" si="8"/>
        <v>150</v>
      </c>
      <c r="Q9" s="16"/>
      <c r="R9" s="16">
        <f t="shared" si="9"/>
        <v>440</v>
      </c>
    </row>
    <row r="10">
      <c r="A10" s="2" t="s">
        <v>227</v>
      </c>
      <c r="B10" s="15">
        <v>26.0</v>
      </c>
      <c r="C10" s="15">
        <v>26.0</v>
      </c>
      <c r="D10" s="15">
        <v>28.0</v>
      </c>
      <c r="E10" s="15">
        <v>27.0</v>
      </c>
      <c r="F10" s="15">
        <v>28.0</v>
      </c>
      <c r="G10" s="15">
        <v>29.0</v>
      </c>
      <c r="H10" s="15">
        <v>28.0</v>
      </c>
      <c r="I10" s="15">
        <v>28.0</v>
      </c>
      <c r="J10" s="15">
        <v>30.0</v>
      </c>
      <c r="N10" s="16">
        <f t="shared" si="6"/>
        <v>80</v>
      </c>
      <c r="O10" s="16">
        <f t="shared" si="7"/>
        <v>84</v>
      </c>
      <c r="P10" s="16">
        <f t="shared" si="8"/>
        <v>86</v>
      </c>
      <c r="Q10" s="16"/>
      <c r="R10" s="16">
        <f t="shared" si="9"/>
        <v>250</v>
      </c>
    </row>
    <row r="11">
      <c r="A11" s="1" t="s">
        <v>228</v>
      </c>
      <c r="B11" s="12">
        <f t="shared" ref="B11:P11" si="10">SUM(B8:B10)</f>
        <v>131</v>
      </c>
      <c r="C11" s="12">
        <f t="shared" si="10"/>
        <v>134</v>
      </c>
      <c r="D11" s="12">
        <f t="shared" si="10"/>
        <v>143</v>
      </c>
      <c r="E11" s="12">
        <f t="shared" si="10"/>
        <v>134</v>
      </c>
      <c r="F11" s="12">
        <f t="shared" si="10"/>
        <v>139</v>
      </c>
      <c r="G11" s="12">
        <f t="shared" si="10"/>
        <v>147</v>
      </c>
      <c r="H11" s="12">
        <f t="shared" si="10"/>
        <v>138</v>
      </c>
      <c r="I11" s="12">
        <f t="shared" si="10"/>
        <v>142</v>
      </c>
      <c r="J11" s="12">
        <f t="shared" si="10"/>
        <v>150</v>
      </c>
      <c r="K11" s="12">
        <f t="shared" si="10"/>
        <v>0</v>
      </c>
      <c r="L11" s="12">
        <f t="shared" si="10"/>
        <v>0</v>
      </c>
      <c r="M11" s="12">
        <f t="shared" si="10"/>
        <v>0</v>
      </c>
      <c r="N11" s="13">
        <f t="shared" si="10"/>
        <v>408</v>
      </c>
      <c r="O11" s="13">
        <f t="shared" si="10"/>
        <v>420</v>
      </c>
      <c r="P11" s="13">
        <f t="shared" si="10"/>
        <v>430</v>
      </c>
      <c r="Q11" s="13"/>
      <c r="R11" s="13">
        <f>SUM(R8:R10)</f>
        <v>1258</v>
      </c>
    </row>
    <row r="12">
      <c r="A12" s="1" t="s">
        <v>33</v>
      </c>
      <c r="B12" s="12">
        <f t="shared" ref="B12:P12" si="11">B7-B11</f>
        <v>80</v>
      </c>
      <c r="C12" s="12">
        <f t="shared" si="11"/>
        <v>82</v>
      </c>
      <c r="D12" s="12">
        <f t="shared" si="11"/>
        <v>85</v>
      </c>
      <c r="E12" s="12">
        <f t="shared" si="11"/>
        <v>90</v>
      </c>
      <c r="F12" s="12">
        <f t="shared" si="11"/>
        <v>91</v>
      </c>
      <c r="G12" s="12">
        <f t="shared" si="11"/>
        <v>94</v>
      </c>
      <c r="H12" s="12">
        <f t="shared" si="11"/>
        <v>93</v>
      </c>
      <c r="I12" s="12">
        <f t="shared" si="11"/>
        <v>95</v>
      </c>
      <c r="J12" s="12">
        <f t="shared" si="11"/>
        <v>102</v>
      </c>
      <c r="K12" s="12">
        <f t="shared" si="11"/>
        <v>0</v>
      </c>
      <c r="L12" s="12">
        <f t="shared" si="11"/>
        <v>0</v>
      </c>
      <c r="M12" s="12">
        <f t="shared" si="11"/>
        <v>0</v>
      </c>
      <c r="N12" s="13">
        <f t="shared" si="11"/>
        <v>247</v>
      </c>
      <c r="O12" s="13">
        <f t="shared" si="11"/>
        <v>275</v>
      </c>
      <c r="P12" s="13">
        <f t="shared" si="11"/>
        <v>290</v>
      </c>
      <c r="Q12" s="13"/>
      <c r="R12" s="13">
        <f>R7-R11</f>
        <v>812</v>
      </c>
    </row>
    <row r="13">
      <c r="A13" s="2" t="s">
        <v>34</v>
      </c>
      <c r="B13" s="15">
        <v>5.0</v>
      </c>
      <c r="C13" s="15">
        <v>5.0</v>
      </c>
      <c r="D13" s="15">
        <v>6.0</v>
      </c>
      <c r="E13" s="15">
        <v>5.0</v>
      </c>
      <c r="F13" s="15">
        <v>6.0</v>
      </c>
      <c r="G13" s="15">
        <v>6.0</v>
      </c>
      <c r="H13" s="15">
        <v>6.0</v>
      </c>
      <c r="I13" s="15">
        <v>6.0</v>
      </c>
      <c r="J13" s="15">
        <v>6.0</v>
      </c>
      <c r="N13" s="16">
        <f>SUM(B13:D13)</f>
        <v>16</v>
      </c>
      <c r="O13" s="16">
        <f>SUM(E13:G13)</f>
        <v>17</v>
      </c>
      <c r="P13" s="16">
        <f>SUM(H13:J13)</f>
        <v>18</v>
      </c>
      <c r="Q13" s="16"/>
      <c r="R13" s="16">
        <f>SUM(B13:M13)</f>
        <v>51</v>
      </c>
    </row>
    <row r="14">
      <c r="A14" s="1" t="s">
        <v>35</v>
      </c>
      <c r="B14" s="12">
        <f t="shared" ref="B14:P14" si="12">B12-B13</f>
        <v>75</v>
      </c>
      <c r="C14" s="12">
        <f t="shared" si="12"/>
        <v>77</v>
      </c>
      <c r="D14" s="12">
        <f t="shared" si="12"/>
        <v>79</v>
      </c>
      <c r="E14" s="12">
        <f t="shared" si="12"/>
        <v>85</v>
      </c>
      <c r="F14" s="12">
        <f t="shared" si="12"/>
        <v>85</v>
      </c>
      <c r="G14" s="12">
        <f t="shared" si="12"/>
        <v>88</v>
      </c>
      <c r="H14" s="12">
        <f t="shared" si="12"/>
        <v>87</v>
      </c>
      <c r="I14" s="12">
        <f t="shared" si="12"/>
        <v>89</v>
      </c>
      <c r="J14" s="12">
        <f t="shared" si="12"/>
        <v>96</v>
      </c>
      <c r="K14" s="12">
        <f t="shared" si="12"/>
        <v>0</v>
      </c>
      <c r="L14" s="12">
        <f t="shared" si="12"/>
        <v>0</v>
      </c>
      <c r="M14" s="12">
        <f t="shared" si="12"/>
        <v>0</v>
      </c>
      <c r="N14" s="13">
        <f t="shared" si="12"/>
        <v>231</v>
      </c>
      <c r="O14" s="13">
        <f t="shared" si="12"/>
        <v>258</v>
      </c>
      <c r="P14" s="13">
        <f t="shared" si="12"/>
        <v>272</v>
      </c>
      <c r="Q14" s="13"/>
      <c r="R14" s="13">
        <f>R12-R13</f>
        <v>761</v>
      </c>
    </row>
    <row r="15">
      <c r="A15" s="2" t="s">
        <v>36</v>
      </c>
      <c r="B15" s="15">
        <v>17.0</v>
      </c>
      <c r="C15" s="15">
        <v>18.0</v>
      </c>
      <c r="D15" s="15">
        <v>19.0</v>
      </c>
      <c r="E15" s="15">
        <v>18.0</v>
      </c>
      <c r="F15" s="15">
        <v>19.0</v>
      </c>
      <c r="G15" s="15">
        <v>20.0</v>
      </c>
      <c r="H15" s="15">
        <v>19.0</v>
      </c>
      <c r="I15" s="15">
        <v>20.0</v>
      </c>
      <c r="J15" s="15">
        <v>21.0</v>
      </c>
      <c r="N15" s="16">
        <f>SUM(B15:D15)</f>
        <v>54</v>
      </c>
      <c r="O15" s="16">
        <f>SUM(E15:G15)</f>
        <v>57</v>
      </c>
      <c r="P15" s="16">
        <f>SUM(H15:J15)</f>
        <v>60</v>
      </c>
      <c r="Q15" s="16"/>
      <c r="R15" s="16">
        <f>SUM(B15:M15)</f>
        <v>171</v>
      </c>
    </row>
    <row r="16">
      <c r="A16" s="1" t="s">
        <v>37</v>
      </c>
      <c r="B16" s="12">
        <f t="shared" ref="B16:P16" si="13">B14-B15</f>
        <v>58</v>
      </c>
      <c r="C16" s="12">
        <f t="shared" si="13"/>
        <v>59</v>
      </c>
      <c r="D16" s="12">
        <f t="shared" si="13"/>
        <v>60</v>
      </c>
      <c r="E16" s="12">
        <f t="shared" si="13"/>
        <v>67</v>
      </c>
      <c r="F16" s="12">
        <f t="shared" si="13"/>
        <v>66</v>
      </c>
      <c r="G16" s="12">
        <f t="shared" si="13"/>
        <v>68</v>
      </c>
      <c r="H16" s="12">
        <f t="shared" si="13"/>
        <v>68</v>
      </c>
      <c r="I16" s="12">
        <f t="shared" si="13"/>
        <v>69</v>
      </c>
      <c r="J16" s="12">
        <f t="shared" si="13"/>
        <v>75</v>
      </c>
      <c r="K16" s="12">
        <f t="shared" si="13"/>
        <v>0</v>
      </c>
      <c r="L16" s="12">
        <f t="shared" si="13"/>
        <v>0</v>
      </c>
      <c r="M16" s="12">
        <f t="shared" si="13"/>
        <v>0</v>
      </c>
      <c r="N16" s="13">
        <f t="shared" si="13"/>
        <v>177</v>
      </c>
      <c r="O16" s="13">
        <f t="shared" si="13"/>
        <v>201</v>
      </c>
      <c r="P16" s="13">
        <f t="shared" si="13"/>
        <v>212</v>
      </c>
      <c r="Q16" s="13"/>
      <c r="R16" s="13">
        <f>R14-R15</f>
        <v>590</v>
      </c>
    </row>
    <row r="18">
      <c r="A18" s="1" t="s">
        <v>229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3"/>
      <c r="O18" s="13"/>
      <c r="P18" s="13"/>
      <c r="Q18" s="13"/>
      <c r="R18" s="13"/>
    </row>
    <row r="19">
      <c r="A19" s="1" t="s">
        <v>224</v>
      </c>
      <c r="B19" s="1" t="s">
        <v>185</v>
      </c>
      <c r="C19" s="1" t="s">
        <v>186</v>
      </c>
      <c r="D19" s="1" t="s">
        <v>187</v>
      </c>
      <c r="E19" s="1" t="s">
        <v>188</v>
      </c>
      <c r="F19" s="1" t="s">
        <v>189</v>
      </c>
      <c r="G19" s="1" t="s">
        <v>190</v>
      </c>
      <c r="H19" s="1" t="s">
        <v>191</v>
      </c>
      <c r="I19" s="1" t="s">
        <v>192</v>
      </c>
      <c r="J19" s="1" t="s">
        <v>193</v>
      </c>
      <c r="K19" s="1" t="s">
        <v>194</v>
      </c>
      <c r="L19" s="1" t="s">
        <v>195</v>
      </c>
      <c r="M19" s="1" t="s">
        <v>196</v>
      </c>
      <c r="N19" s="14" t="s">
        <v>197</v>
      </c>
      <c r="O19" s="14" t="s">
        <v>198</v>
      </c>
      <c r="P19" s="14" t="s">
        <v>199</v>
      </c>
      <c r="Q19" s="14" t="s">
        <v>200</v>
      </c>
      <c r="R19" s="14" t="s">
        <v>201</v>
      </c>
    </row>
    <row r="20">
      <c r="A20" s="2" t="s">
        <v>29</v>
      </c>
      <c r="B20" s="15">
        <f>'Revenue Detail'!B22</f>
        <v>365</v>
      </c>
      <c r="C20" s="15">
        <f>'Revenue Detail'!C22</f>
        <v>377</v>
      </c>
      <c r="D20" s="15">
        <f>'Revenue Detail'!D22</f>
        <v>398</v>
      </c>
      <c r="E20" s="15">
        <f>'Revenue Detail'!E22</f>
        <v>377</v>
      </c>
      <c r="F20" s="15">
        <f>'Revenue Detail'!F22</f>
        <v>389</v>
      </c>
      <c r="G20" s="15">
        <f>'Revenue Detail'!G22</f>
        <v>414</v>
      </c>
      <c r="H20" s="15">
        <f>'Revenue Detail'!H22</f>
        <v>386</v>
      </c>
      <c r="I20" s="15">
        <f>'Revenue Detail'!I22</f>
        <v>396</v>
      </c>
      <c r="J20" s="15">
        <f>'Revenue Detail'!J22</f>
        <v>418</v>
      </c>
      <c r="K20" s="15">
        <f>'Revenue Detail'!K22</f>
        <v>397</v>
      </c>
      <c r="L20" s="15">
        <f>'Revenue Detail'!L22</f>
        <v>409</v>
      </c>
      <c r="M20" s="15">
        <f>'Revenue Detail'!M22</f>
        <v>434</v>
      </c>
      <c r="N20" s="16">
        <f t="shared" ref="N20:N21" si="14">SUM(B20:D20)</f>
        <v>1140</v>
      </c>
      <c r="O20" s="16">
        <f t="shared" ref="O20:O21" si="15">SUM(E20:G20)</f>
        <v>1180</v>
      </c>
      <c r="P20" s="16">
        <f t="shared" ref="P20:P21" si="16">SUM(H20:J20)</f>
        <v>1200</v>
      </c>
      <c r="Q20" s="16">
        <f t="shared" ref="Q20:Q21" si="17">SUM(K20:M20)</f>
        <v>1240</v>
      </c>
      <c r="R20" s="16">
        <f t="shared" ref="R20:R21" si="18">SUM(B20:M20)</f>
        <v>4760</v>
      </c>
    </row>
    <row r="21">
      <c r="A21" s="2" t="s">
        <v>30</v>
      </c>
      <c r="B21" s="15">
        <v>154.0</v>
      </c>
      <c r="C21" s="15">
        <v>158.0</v>
      </c>
      <c r="D21" s="15">
        <v>168.0</v>
      </c>
      <c r="E21" s="15">
        <v>157.0</v>
      </c>
      <c r="F21" s="15">
        <v>162.0</v>
      </c>
      <c r="G21" s="15">
        <v>173.0</v>
      </c>
      <c r="H21" s="15">
        <v>160.0</v>
      </c>
      <c r="I21" s="15">
        <v>165.0</v>
      </c>
      <c r="J21" s="15">
        <v>175.0</v>
      </c>
      <c r="K21" s="15">
        <v>164.0</v>
      </c>
      <c r="L21" s="15">
        <v>169.0</v>
      </c>
      <c r="M21" s="15">
        <v>179.0</v>
      </c>
      <c r="N21" s="16">
        <f t="shared" si="14"/>
        <v>480</v>
      </c>
      <c r="O21" s="16">
        <f t="shared" si="15"/>
        <v>492</v>
      </c>
      <c r="P21" s="16">
        <f t="shared" si="16"/>
        <v>500</v>
      </c>
      <c r="Q21" s="16">
        <f t="shared" si="17"/>
        <v>512</v>
      </c>
      <c r="R21" s="16">
        <f t="shared" si="18"/>
        <v>1984</v>
      </c>
    </row>
    <row r="22">
      <c r="A22" s="1" t="s">
        <v>31</v>
      </c>
      <c r="B22" s="12">
        <f t="shared" ref="B22:R22" si="19">B20-B21</f>
        <v>211</v>
      </c>
      <c r="C22" s="12">
        <f t="shared" si="19"/>
        <v>219</v>
      </c>
      <c r="D22" s="12">
        <f t="shared" si="19"/>
        <v>230</v>
      </c>
      <c r="E22" s="12">
        <f t="shared" si="19"/>
        <v>220</v>
      </c>
      <c r="F22" s="12">
        <f t="shared" si="19"/>
        <v>227</v>
      </c>
      <c r="G22" s="12">
        <f t="shared" si="19"/>
        <v>241</v>
      </c>
      <c r="H22" s="12">
        <f t="shared" si="19"/>
        <v>226</v>
      </c>
      <c r="I22" s="12">
        <f t="shared" si="19"/>
        <v>231</v>
      </c>
      <c r="J22" s="12">
        <f t="shared" si="19"/>
        <v>243</v>
      </c>
      <c r="K22" s="12">
        <f t="shared" si="19"/>
        <v>233</v>
      </c>
      <c r="L22" s="12">
        <f t="shared" si="19"/>
        <v>240</v>
      </c>
      <c r="M22" s="12">
        <f t="shared" si="19"/>
        <v>255</v>
      </c>
      <c r="N22" s="13">
        <f t="shared" si="19"/>
        <v>660</v>
      </c>
      <c r="O22" s="13">
        <f t="shared" si="19"/>
        <v>688</v>
      </c>
      <c r="P22" s="13">
        <f t="shared" si="19"/>
        <v>700</v>
      </c>
      <c r="Q22" s="13">
        <f t="shared" si="19"/>
        <v>728</v>
      </c>
      <c r="R22" s="13">
        <f t="shared" si="19"/>
        <v>2776</v>
      </c>
    </row>
    <row r="23">
      <c r="A23" s="2" t="s">
        <v>225</v>
      </c>
      <c r="B23" s="15">
        <v>61.0</v>
      </c>
      <c r="C23" s="15">
        <v>63.0</v>
      </c>
      <c r="D23" s="15">
        <v>68.0</v>
      </c>
      <c r="E23" s="15">
        <v>63.0</v>
      </c>
      <c r="F23" s="15">
        <v>65.0</v>
      </c>
      <c r="G23" s="15">
        <v>68.0</v>
      </c>
      <c r="H23" s="15">
        <v>64.0</v>
      </c>
      <c r="I23" s="15">
        <v>66.0</v>
      </c>
      <c r="J23" s="15">
        <v>70.0</v>
      </c>
      <c r="K23" s="15">
        <v>66.0</v>
      </c>
      <c r="L23" s="15">
        <v>68.0</v>
      </c>
      <c r="M23" s="15">
        <v>71.0</v>
      </c>
      <c r="N23" s="16">
        <f t="shared" ref="N23:N25" si="20">SUM(B23:D23)</f>
        <v>192</v>
      </c>
      <c r="O23" s="16">
        <f t="shared" ref="O23:O25" si="21">SUM(E23:G23)</f>
        <v>196</v>
      </c>
      <c r="P23" s="16">
        <f t="shared" ref="P23:P25" si="22">SUM(H23:J23)</f>
        <v>200</v>
      </c>
      <c r="Q23" s="16">
        <f t="shared" ref="Q23:Q25" si="23">SUM(K23:M23)</f>
        <v>205</v>
      </c>
      <c r="R23" s="16">
        <f t="shared" ref="R23:R25" si="24">SUM(B23:M23)</f>
        <v>793</v>
      </c>
    </row>
    <row r="24">
      <c r="A24" s="2" t="s">
        <v>226</v>
      </c>
      <c r="B24" s="15">
        <v>48.0</v>
      </c>
      <c r="C24" s="15">
        <v>50.0</v>
      </c>
      <c r="D24" s="15">
        <v>52.0</v>
      </c>
      <c r="E24" s="15">
        <v>49.0</v>
      </c>
      <c r="F24" s="15">
        <v>50.0</v>
      </c>
      <c r="G24" s="15">
        <v>54.0</v>
      </c>
      <c r="H24" s="15">
        <v>50.0</v>
      </c>
      <c r="I24" s="15">
        <v>51.0</v>
      </c>
      <c r="J24" s="15">
        <v>55.0</v>
      </c>
      <c r="K24" s="15">
        <v>51.0</v>
      </c>
      <c r="L24" s="15">
        <v>53.0</v>
      </c>
      <c r="M24" s="15">
        <v>56.0</v>
      </c>
      <c r="N24" s="16">
        <f t="shared" si="20"/>
        <v>150</v>
      </c>
      <c r="O24" s="16">
        <f t="shared" si="21"/>
        <v>153</v>
      </c>
      <c r="P24" s="16">
        <f t="shared" si="22"/>
        <v>156</v>
      </c>
      <c r="Q24" s="16">
        <f t="shared" si="23"/>
        <v>160</v>
      </c>
      <c r="R24" s="16">
        <f t="shared" si="24"/>
        <v>619</v>
      </c>
    </row>
    <row r="25">
      <c r="A25" s="2" t="s">
        <v>227</v>
      </c>
      <c r="B25" s="15">
        <v>27.0</v>
      </c>
      <c r="C25" s="15">
        <v>28.0</v>
      </c>
      <c r="D25" s="15">
        <v>30.0</v>
      </c>
      <c r="E25" s="15">
        <v>28.0</v>
      </c>
      <c r="F25" s="15">
        <v>29.0</v>
      </c>
      <c r="G25" s="15">
        <v>30.0</v>
      </c>
      <c r="H25" s="15">
        <v>28.0</v>
      </c>
      <c r="I25" s="15">
        <v>29.0</v>
      </c>
      <c r="J25" s="15">
        <v>32.0</v>
      </c>
      <c r="K25" s="15">
        <v>29.0</v>
      </c>
      <c r="L25" s="15">
        <v>30.0</v>
      </c>
      <c r="M25" s="15">
        <v>33.0</v>
      </c>
      <c r="N25" s="16">
        <f t="shared" si="20"/>
        <v>85</v>
      </c>
      <c r="O25" s="16">
        <f t="shared" si="21"/>
        <v>87</v>
      </c>
      <c r="P25" s="16">
        <f t="shared" si="22"/>
        <v>89</v>
      </c>
      <c r="Q25" s="16">
        <f t="shared" si="23"/>
        <v>92</v>
      </c>
      <c r="R25" s="16">
        <f t="shared" si="24"/>
        <v>353</v>
      </c>
    </row>
    <row r="26">
      <c r="A26" s="1" t="s">
        <v>228</v>
      </c>
      <c r="B26" s="12">
        <f t="shared" ref="B26:R26" si="25">SUM(B23:B25)</f>
        <v>136</v>
      </c>
      <c r="C26" s="12">
        <f t="shared" si="25"/>
        <v>141</v>
      </c>
      <c r="D26" s="12">
        <f t="shared" si="25"/>
        <v>150</v>
      </c>
      <c r="E26" s="12">
        <f t="shared" si="25"/>
        <v>140</v>
      </c>
      <c r="F26" s="12">
        <f t="shared" si="25"/>
        <v>144</v>
      </c>
      <c r="G26" s="12">
        <f t="shared" si="25"/>
        <v>152</v>
      </c>
      <c r="H26" s="12">
        <f t="shared" si="25"/>
        <v>142</v>
      </c>
      <c r="I26" s="12">
        <f t="shared" si="25"/>
        <v>146</v>
      </c>
      <c r="J26" s="12">
        <f t="shared" si="25"/>
        <v>157</v>
      </c>
      <c r="K26" s="12">
        <f t="shared" si="25"/>
        <v>146</v>
      </c>
      <c r="L26" s="12">
        <f t="shared" si="25"/>
        <v>151</v>
      </c>
      <c r="M26" s="12">
        <f t="shared" si="25"/>
        <v>160</v>
      </c>
      <c r="N26" s="13">
        <f t="shared" si="25"/>
        <v>427</v>
      </c>
      <c r="O26" s="13">
        <f t="shared" si="25"/>
        <v>436</v>
      </c>
      <c r="P26" s="13">
        <f t="shared" si="25"/>
        <v>445</v>
      </c>
      <c r="Q26" s="13">
        <f t="shared" si="25"/>
        <v>457</v>
      </c>
      <c r="R26" s="13">
        <f t="shared" si="25"/>
        <v>1765</v>
      </c>
    </row>
    <row r="27">
      <c r="A27" s="1" t="s">
        <v>33</v>
      </c>
      <c r="B27" s="12">
        <f t="shared" ref="B27:R27" si="26">B22-B26</f>
        <v>75</v>
      </c>
      <c r="C27" s="12">
        <f t="shared" si="26"/>
        <v>78</v>
      </c>
      <c r="D27" s="12">
        <f t="shared" si="26"/>
        <v>80</v>
      </c>
      <c r="E27" s="12">
        <f t="shared" si="26"/>
        <v>80</v>
      </c>
      <c r="F27" s="12">
        <f t="shared" si="26"/>
        <v>83</v>
      </c>
      <c r="G27" s="12">
        <f t="shared" si="26"/>
        <v>89</v>
      </c>
      <c r="H27" s="12">
        <f t="shared" si="26"/>
        <v>84</v>
      </c>
      <c r="I27" s="12">
        <f t="shared" si="26"/>
        <v>85</v>
      </c>
      <c r="J27" s="12">
        <f t="shared" si="26"/>
        <v>86</v>
      </c>
      <c r="K27" s="12">
        <f t="shared" si="26"/>
        <v>87</v>
      </c>
      <c r="L27" s="12">
        <f t="shared" si="26"/>
        <v>89</v>
      </c>
      <c r="M27" s="12">
        <f t="shared" si="26"/>
        <v>95</v>
      </c>
      <c r="N27" s="13">
        <f t="shared" si="26"/>
        <v>233</v>
      </c>
      <c r="O27" s="13">
        <f t="shared" si="26"/>
        <v>252</v>
      </c>
      <c r="P27" s="13">
        <f t="shared" si="26"/>
        <v>255</v>
      </c>
      <c r="Q27" s="13">
        <f t="shared" si="26"/>
        <v>271</v>
      </c>
      <c r="R27" s="13">
        <f t="shared" si="26"/>
        <v>1011</v>
      </c>
    </row>
    <row r="28">
      <c r="A28" s="2" t="s">
        <v>34</v>
      </c>
      <c r="B28" s="15">
        <v>6.0</v>
      </c>
      <c r="C28" s="15">
        <v>6.0</v>
      </c>
      <c r="D28" s="15">
        <v>6.0</v>
      </c>
      <c r="E28" s="15">
        <v>6.0</v>
      </c>
      <c r="F28" s="15">
        <v>6.0</v>
      </c>
      <c r="G28" s="15">
        <v>6.0</v>
      </c>
      <c r="H28" s="15">
        <v>6.0</v>
      </c>
      <c r="I28" s="15">
        <v>6.0</v>
      </c>
      <c r="J28" s="15">
        <v>6.0</v>
      </c>
      <c r="K28" s="15">
        <v>6.0</v>
      </c>
      <c r="L28" s="15">
        <v>6.0</v>
      </c>
      <c r="M28" s="15">
        <v>6.0</v>
      </c>
      <c r="N28" s="16">
        <f>SUM(B28:D28)</f>
        <v>18</v>
      </c>
      <c r="O28" s="16">
        <f>SUM(E28:G28)</f>
        <v>18</v>
      </c>
      <c r="P28" s="16">
        <f>SUM(H28:J28)</f>
        <v>18</v>
      </c>
      <c r="Q28" s="16">
        <f>SUM(K28:M28)</f>
        <v>18</v>
      </c>
      <c r="R28" s="16">
        <f>SUM(B28:M28)</f>
        <v>72</v>
      </c>
    </row>
    <row r="29">
      <c r="A29" s="1" t="s">
        <v>35</v>
      </c>
      <c r="B29" s="12">
        <f t="shared" ref="B29:R29" si="27">B27-B28</f>
        <v>69</v>
      </c>
      <c r="C29" s="12">
        <f t="shared" si="27"/>
        <v>72</v>
      </c>
      <c r="D29" s="12">
        <f t="shared" si="27"/>
        <v>74</v>
      </c>
      <c r="E29" s="12">
        <f t="shared" si="27"/>
        <v>74</v>
      </c>
      <c r="F29" s="12">
        <f t="shared" si="27"/>
        <v>77</v>
      </c>
      <c r="G29" s="12">
        <f t="shared" si="27"/>
        <v>83</v>
      </c>
      <c r="H29" s="12">
        <f t="shared" si="27"/>
        <v>78</v>
      </c>
      <c r="I29" s="12">
        <f t="shared" si="27"/>
        <v>79</v>
      </c>
      <c r="J29" s="12">
        <f t="shared" si="27"/>
        <v>80</v>
      </c>
      <c r="K29" s="12">
        <f t="shared" si="27"/>
        <v>81</v>
      </c>
      <c r="L29" s="12">
        <f t="shared" si="27"/>
        <v>83</v>
      </c>
      <c r="M29" s="12">
        <f t="shared" si="27"/>
        <v>89</v>
      </c>
      <c r="N29" s="13">
        <f t="shared" si="27"/>
        <v>215</v>
      </c>
      <c r="O29" s="13">
        <f t="shared" si="27"/>
        <v>234</v>
      </c>
      <c r="P29" s="13">
        <f t="shared" si="27"/>
        <v>237</v>
      </c>
      <c r="Q29" s="13">
        <f t="shared" si="27"/>
        <v>253</v>
      </c>
      <c r="R29" s="13">
        <f t="shared" si="27"/>
        <v>939</v>
      </c>
    </row>
    <row r="30">
      <c r="A30" s="2" t="s">
        <v>36</v>
      </c>
      <c r="B30" s="15">
        <v>15.0</v>
      </c>
      <c r="C30" s="15">
        <v>15.0</v>
      </c>
      <c r="D30" s="15">
        <v>16.0</v>
      </c>
      <c r="E30" s="15">
        <v>15.0</v>
      </c>
      <c r="F30" s="15">
        <v>16.0</v>
      </c>
      <c r="G30" s="15">
        <v>17.0</v>
      </c>
      <c r="H30" s="15">
        <v>16.0</v>
      </c>
      <c r="I30" s="15">
        <v>16.0</v>
      </c>
      <c r="J30" s="15">
        <v>17.0</v>
      </c>
      <c r="K30" s="15">
        <v>16.0</v>
      </c>
      <c r="L30" s="15">
        <v>17.0</v>
      </c>
      <c r="M30" s="15">
        <v>18.0</v>
      </c>
      <c r="N30" s="16">
        <f>SUM(B30:D30)</f>
        <v>46</v>
      </c>
      <c r="O30" s="16">
        <f>SUM(E30:G30)</f>
        <v>48</v>
      </c>
      <c r="P30" s="16">
        <f>SUM(H30:J30)</f>
        <v>49</v>
      </c>
      <c r="Q30" s="16">
        <f>SUM(K30:M30)</f>
        <v>51</v>
      </c>
      <c r="R30" s="16">
        <f>SUM(B30:M30)</f>
        <v>194</v>
      </c>
    </row>
    <row r="31">
      <c r="A31" s="1" t="s">
        <v>37</v>
      </c>
      <c r="B31" s="12">
        <f t="shared" ref="B31:R31" si="28">B29-B30</f>
        <v>54</v>
      </c>
      <c r="C31" s="12">
        <f t="shared" si="28"/>
        <v>57</v>
      </c>
      <c r="D31" s="12">
        <f t="shared" si="28"/>
        <v>58</v>
      </c>
      <c r="E31" s="12">
        <f t="shared" si="28"/>
        <v>59</v>
      </c>
      <c r="F31" s="12">
        <f t="shared" si="28"/>
        <v>61</v>
      </c>
      <c r="G31" s="12">
        <f t="shared" si="28"/>
        <v>66</v>
      </c>
      <c r="H31" s="12">
        <f t="shared" si="28"/>
        <v>62</v>
      </c>
      <c r="I31" s="12">
        <f t="shared" si="28"/>
        <v>63</v>
      </c>
      <c r="J31" s="12">
        <f t="shared" si="28"/>
        <v>63</v>
      </c>
      <c r="K31" s="12">
        <f t="shared" si="28"/>
        <v>65</v>
      </c>
      <c r="L31" s="12">
        <f t="shared" si="28"/>
        <v>66</v>
      </c>
      <c r="M31" s="12">
        <f t="shared" si="28"/>
        <v>71</v>
      </c>
      <c r="N31" s="13">
        <f t="shared" si="28"/>
        <v>169</v>
      </c>
      <c r="O31" s="13">
        <f t="shared" si="28"/>
        <v>186</v>
      </c>
      <c r="P31" s="13">
        <f t="shared" si="28"/>
        <v>188</v>
      </c>
      <c r="Q31" s="13">
        <f t="shared" si="28"/>
        <v>202</v>
      </c>
      <c r="R31" s="13">
        <f t="shared" si="28"/>
        <v>745</v>
      </c>
    </row>
    <row r="33">
      <c r="A33" s="1" t="s">
        <v>230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3"/>
      <c r="O33" s="13"/>
      <c r="P33" s="13"/>
      <c r="Q33" s="13"/>
      <c r="R33" s="13"/>
    </row>
    <row r="34">
      <c r="A34" s="1" t="s">
        <v>224</v>
      </c>
      <c r="B34" s="1" t="s">
        <v>185</v>
      </c>
      <c r="C34" s="1" t="s">
        <v>186</v>
      </c>
      <c r="D34" s="1" t="s">
        <v>187</v>
      </c>
      <c r="E34" s="1" t="s">
        <v>188</v>
      </c>
      <c r="F34" s="1" t="s">
        <v>189</v>
      </c>
      <c r="G34" s="1" t="s">
        <v>190</v>
      </c>
      <c r="H34" s="1" t="s">
        <v>191</v>
      </c>
      <c r="I34" s="1" t="s">
        <v>192</v>
      </c>
      <c r="J34" s="1" t="s">
        <v>193</v>
      </c>
      <c r="K34" s="1" t="s">
        <v>194</v>
      </c>
      <c r="L34" s="1" t="s">
        <v>195</v>
      </c>
      <c r="M34" s="1" t="s">
        <v>196</v>
      </c>
      <c r="N34" s="14" t="s">
        <v>197</v>
      </c>
      <c r="O34" s="14" t="s">
        <v>198</v>
      </c>
      <c r="P34" s="14" t="s">
        <v>199</v>
      </c>
      <c r="Q34" s="14" t="s">
        <v>200</v>
      </c>
      <c r="R34" s="14" t="s">
        <v>201</v>
      </c>
    </row>
    <row r="35">
      <c r="A35" s="2" t="s">
        <v>29</v>
      </c>
      <c r="B35" s="3">
        <f t="shared" ref="B35:J35" si="29">B5-B20</f>
        <v>4</v>
      </c>
      <c r="C35" s="3">
        <f t="shared" si="29"/>
        <v>2</v>
      </c>
      <c r="D35" s="3">
        <f t="shared" si="29"/>
        <v>4</v>
      </c>
      <c r="E35" s="3">
        <f t="shared" si="29"/>
        <v>10</v>
      </c>
      <c r="F35" s="3">
        <f t="shared" si="29"/>
        <v>9</v>
      </c>
      <c r="G35" s="3">
        <f t="shared" si="29"/>
        <v>6</v>
      </c>
      <c r="H35" s="3">
        <f t="shared" si="29"/>
        <v>11</v>
      </c>
      <c r="I35" s="3">
        <f t="shared" si="29"/>
        <v>13</v>
      </c>
      <c r="J35" s="3">
        <f t="shared" si="29"/>
        <v>16</v>
      </c>
      <c r="N35" s="16">
        <f t="shared" ref="N35:P35" si="30">N5-N20</f>
        <v>10</v>
      </c>
      <c r="O35" s="16">
        <f t="shared" si="30"/>
        <v>25</v>
      </c>
      <c r="P35" s="16">
        <f t="shared" si="30"/>
        <v>40</v>
      </c>
      <c r="Q35" s="16"/>
      <c r="R35" s="16"/>
    </row>
    <row r="36">
      <c r="A36" s="2" t="s">
        <v>30</v>
      </c>
      <c r="B36" s="3">
        <f t="shared" ref="B36:J36" si="31">B6-B21</f>
        <v>4</v>
      </c>
      <c r="C36" s="3">
        <f t="shared" si="31"/>
        <v>5</v>
      </c>
      <c r="D36" s="3">
        <f t="shared" si="31"/>
        <v>6</v>
      </c>
      <c r="E36" s="3">
        <f t="shared" si="31"/>
        <v>6</v>
      </c>
      <c r="F36" s="3">
        <f t="shared" si="31"/>
        <v>6</v>
      </c>
      <c r="G36" s="3">
        <f t="shared" si="31"/>
        <v>6</v>
      </c>
      <c r="H36" s="3">
        <f t="shared" si="31"/>
        <v>6</v>
      </c>
      <c r="I36" s="3">
        <f t="shared" si="31"/>
        <v>7</v>
      </c>
      <c r="J36" s="3">
        <f t="shared" si="31"/>
        <v>7</v>
      </c>
      <c r="N36" s="16">
        <f t="shared" ref="N36:P36" si="32">N6-N21</f>
        <v>15</v>
      </c>
      <c r="O36" s="16">
        <f t="shared" si="32"/>
        <v>18</v>
      </c>
      <c r="P36" s="16">
        <f t="shared" si="32"/>
        <v>20</v>
      </c>
      <c r="Q36" s="16"/>
      <c r="R36" s="16"/>
    </row>
    <row r="37">
      <c r="A37" s="1" t="s">
        <v>31</v>
      </c>
      <c r="B37" s="12">
        <f t="shared" ref="B37:J37" si="33">B7-B22</f>
        <v>0</v>
      </c>
      <c r="C37" s="12">
        <f t="shared" si="33"/>
        <v>-3</v>
      </c>
      <c r="D37" s="12">
        <f t="shared" si="33"/>
        <v>-2</v>
      </c>
      <c r="E37" s="12">
        <f t="shared" si="33"/>
        <v>4</v>
      </c>
      <c r="F37" s="12">
        <f t="shared" si="33"/>
        <v>3</v>
      </c>
      <c r="G37" s="12">
        <f t="shared" si="33"/>
        <v>0</v>
      </c>
      <c r="H37" s="12">
        <f t="shared" si="33"/>
        <v>5</v>
      </c>
      <c r="I37" s="12">
        <f t="shared" si="33"/>
        <v>6</v>
      </c>
      <c r="J37" s="12">
        <f t="shared" si="33"/>
        <v>9</v>
      </c>
      <c r="K37" s="12"/>
      <c r="L37" s="12"/>
      <c r="M37" s="12"/>
      <c r="N37" s="13">
        <f t="shared" ref="N37:P37" si="34">N7-N22</f>
        <v>-5</v>
      </c>
      <c r="O37" s="13">
        <f t="shared" si="34"/>
        <v>7</v>
      </c>
      <c r="P37" s="13">
        <f t="shared" si="34"/>
        <v>20</v>
      </c>
      <c r="Q37" s="13"/>
      <c r="R37" s="13"/>
    </row>
    <row r="38">
      <c r="A38" s="2" t="s">
        <v>225</v>
      </c>
      <c r="B38" s="3">
        <f t="shared" ref="B38:J38" si="35">B8-B23</f>
        <v>-2</v>
      </c>
      <c r="C38" s="3">
        <f t="shared" si="35"/>
        <v>-2</v>
      </c>
      <c r="D38" s="3">
        <f t="shared" si="35"/>
        <v>-3</v>
      </c>
      <c r="E38" s="3">
        <f t="shared" si="35"/>
        <v>-3</v>
      </c>
      <c r="F38" s="3">
        <f t="shared" si="35"/>
        <v>-3</v>
      </c>
      <c r="G38" s="3">
        <f t="shared" si="35"/>
        <v>-1</v>
      </c>
      <c r="H38" s="3">
        <f t="shared" si="35"/>
        <v>-2</v>
      </c>
      <c r="I38" s="3">
        <f t="shared" si="35"/>
        <v>-2</v>
      </c>
      <c r="J38" s="3">
        <f t="shared" si="35"/>
        <v>-2</v>
      </c>
      <c r="N38" s="16">
        <f t="shared" ref="N38:P38" si="36">N8-N23</f>
        <v>-7</v>
      </c>
      <c r="O38" s="16">
        <f t="shared" si="36"/>
        <v>-7</v>
      </c>
      <c r="P38" s="16">
        <f t="shared" si="36"/>
        <v>-6</v>
      </c>
      <c r="Q38" s="16"/>
      <c r="R38" s="16"/>
    </row>
    <row r="39">
      <c r="A39" s="2" t="s">
        <v>226</v>
      </c>
      <c r="B39" s="3">
        <f t="shared" ref="B39:J39" si="37">B9-B24</f>
        <v>-2</v>
      </c>
      <c r="C39" s="3">
        <f t="shared" si="37"/>
        <v>-3</v>
      </c>
      <c r="D39" s="3">
        <f t="shared" si="37"/>
        <v>-2</v>
      </c>
      <c r="E39" s="3">
        <f t="shared" si="37"/>
        <v>-2</v>
      </c>
      <c r="F39" s="3">
        <f t="shared" si="37"/>
        <v>-1</v>
      </c>
      <c r="G39" s="3">
        <f t="shared" si="37"/>
        <v>-3</v>
      </c>
      <c r="H39" s="3">
        <f t="shared" si="37"/>
        <v>-2</v>
      </c>
      <c r="I39" s="3">
        <f t="shared" si="37"/>
        <v>-1</v>
      </c>
      <c r="J39" s="3">
        <f t="shared" si="37"/>
        <v>-3</v>
      </c>
      <c r="N39" s="16">
        <f t="shared" ref="N39:P39" si="38">N9-N24</f>
        <v>-7</v>
      </c>
      <c r="O39" s="16">
        <f t="shared" si="38"/>
        <v>-6</v>
      </c>
      <c r="P39" s="16">
        <f t="shared" si="38"/>
        <v>-6</v>
      </c>
      <c r="Q39" s="16"/>
      <c r="R39" s="16"/>
    </row>
    <row r="40">
      <c r="A40" s="2" t="s">
        <v>227</v>
      </c>
      <c r="B40" s="3">
        <f t="shared" ref="B40:J40" si="39">B10-B25</f>
        <v>-1</v>
      </c>
      <c r="C40" s="3">
        <f t="shared" si="39"/>
        <v>-2</v>
      </c>
      <c r="D40" s="3">
        <f t="shared" si="39"/>
        <v>-2</v>
      </c>
      <c r="E40" s="3">
        <f t="shared" si="39"/>
        <v>-1</v>
      </c>
      <c r="F40" s="3">
        <f t="shared" si="39"/>
        <v>-1</v>
      </c>
      <c r="G40" s="3">
        <f t="shared" si="39"/>
        <v>-1</v>
      </c>
      <c r="H40" s="3">
        <f t="shared" si="39"/>
        <v>0</v>
      </c>
      <c r="I40" s="3">
        <f t="shared" si="39"/>
        <v>-1</v>
      </c>
      <c r="J40" s="3">
        <f t="shared" si="39"/>
        <v>-2</v>
      </c>
      <c r="N40" s="16">
        <f t="shared" ref="N40:P40" si="40">N10-N25</f>
        <v>-5</v>
      </c>
      <c r="O40" s="16">
        <f t="shared" si="40"/>
        <v>-3</v>
      </c>
      <c r="P40" s="16">
        <f t="shared" si="40"/>
        <v>-3</v>
      </c>
      <c r="Q40" s="16"/>
      <c r="R40" s="16"/>
    </row>
    <row r="41">
      <c r="A41" s="1" t="s">
        <v>228</v>
      </c>
      <c r="B41" s="12">
        <f t="shared" ref="B41:J41" si="41">B11-B26</f>
        <v>-5</v>
      </c>
      <c r="C41" s="12">
        <f t="shared" si="41"/>
        <v>-7</v>
      </c>
      <c r="D41" s="12">
        <f t="shared" si="41"/>
        <v>-7</v>
      </c>
      <c r="E41" s="12">
        <f t="shared" si="41"/>
        <v>-6</v>
      </c>
      <c r="F41" s="12">
        <f t="shared" si="41"/>
        <v>-5</v>
      </c>
      <c r="G41" s="12">
        <f t="shared" si="41"/>
        <v>-5</v>
      </c>
      <c r="H41" s="12">
        <f t="shared" si="41"/>
        <v>-4</v>
      </c>
      <c r="I41" s="12">
        <f t="shared" si="41"/>
        <v>-4</v>
      </c>
      <c r="J41" s="12">
        <f t="shared" si="41"/>
        <v>-7</v>
      </c>
      <c r="K41" s="12"/>
      <c r="L41" s="12"/>
      <c r="M41" s="12"/>
      <c r="N41" s="13">
        <f t="shared" ref="N41:P41" si="42">N11-N26</f>
        <v>-19</v>
      </c>
      <c r="O41" s="13">
        <f t="shared" si="42"/>
        <v>-16</v>
      </c>
      <c r="P41" s="13">
        <f t="shared" si="42"/>
        <v>-15</v>
      </c>
      <c r="Q41" s="13"/>
      <c r="R41" s="13"/>
    </row>
    <row r="42">
      <c r="A42" s="1" t="s">
        <v>33</v>
      </c>
      <c r="B42" s="12">
        <f t="shared" ref="B42:J42" si="43">B12-B27</f>
        <v>5</v>
      </c>
      <c r="C42" s="12">
        <f t="shared" si="43"/>
        <v>4</v>
      </c>
      <c r="D42" s="12">
        <f t="shared" si="43"/>
        <v>5</v>
      </c>
      <c r="E42" s="12">
        <f t="shared" si="43"/>
        <v>10</v>
      </c>
      <c r="F42" s="12">
        <f t="shared" si="43"/>
        <v>8</v>
      </c>
      <c r="G42" s="12">
        <f t="shared" si="43"/>
        <v>5</v>
      </c>
      <c r="H42" s="12">
        <f t="shared" si="43"/>
        <v>9</v>
      </c>
      <c r="I42" s="12">
        <f t="shared" si="43"/>
        <v>10</v>
      </c>
      <c r="J42" s="12">
        <f t="shared" si="43"/>
        <v>16</v>
      </c>
      <c r="K42" s="12"/>
      <c r="L42" s="12"/>
      <c r="M42" s="12"/>
      <c r="N42" s="13">
        <f t="shared" ref="N42:P42" si="44">N12-N27</f>
        <v>14</v>
      </c>
      <c r="O42" s="13">
        <f t="shared" si="44"/>
        <v>23</v>
      </c>
      <c r="P42" s="13">
        <f t="shared" si="44"/>
        <v>35</v>
      </c>
      <c r="Q42" s="13"/>
      <c r="R42" s="13"/>
    </row>
    <row r="43">
      <c r="A43" s="2" t="s">
        <v>34</v>
      </c>
      <c r="B43" s="3">
        <f t="shared" ref="B43:J43" si="45">B13-B28</f>
        <v>-1</v>
      </c>
      <c r="C43" s="3">
        <f t="shared" si="45"/>
        <v>-1</v>
      </c>
      <c r="D43" s="3">
        <f t="shared" si="45"/>
        <v>0</v>
      </c>
      <c r="E43" s="3">
        <f t="shared" si="45"/>
        <v>-1</v>
      </c>
      <c r="F43" s="3">
        <f t="shared" si="45"/>
        <v>0</v>
      </c>
      <c r="G43" s="3">
        <f t="shared" si="45"/>
        <v>0</v>
      </c>
      <c r="H43" s="3">
        <f t="shared" si="45"/>
        <v>0</v>
      </c>
      <c r="I43" s="3">
        <f t="shared" si="45"/>
        <v>0</v>
      </c>
      <c r="J43" s="3">
        <f t="shared" si="45"/>
        <v>0</v>
      </c>
      <c r="N43" s="16">
        <f t="shared" ref="N43:P43" si="46">N13-N28</f>
        <v>-2</v>
      </c>
      <c r="O43" s="16">
        <f t="shared" si="46"/>
        <v>-1</v>
      </c>
      <c r="P43" s="16">
        <f t="shared" si="46"/>
        <v>0</v>
      </c>
      <c r="Q43" s="16"/>
      <c r="R43" s="16"/>
    </row>
    <row r="44">
      <c r="A44" s="1" t="s">
        <v>35</v>
      </c>
      <c r="B44" s="12">
        <f t="shared" ref="B44:J44" si="47">B14-B29</f>
        <v>6</v>
      </c>
      <c r="C44" s="12">
        <f t="shared" si="47"/>
        <v>5</v>
      </c>
      <c r="D44" s="12">
        <f t="shared" si="47"/>
        <v>5</v>
      </c>
      <c r="E44" s="12">
        <f t="shared" si="47"/>
        <v>11</v>
      </c>
      <c r="F44" s="12">
        <f t="shared" si="47"/>
        <v>8</v>
      </c>
      <c r="G44" s="12">
        <f t="shared" si="47"/>
        <v>5</v>
      </c>
      <c r="H44" s="12">
        <f t="shared" si="47"/>
        <v>9</v>
      </c>
      <c r="I44" s="12">
        <f t="shared" si="47"/>
        <v>10</v>
      </c>
      <c r="J44" s="12">
        <f t="shared" si="47"/>
        <v>16</v>
      </c>
      <c r="K44" s="12"/>
      <c r="L44" s="12"/>
      <c r="M44" s="12"/>
      <c r="N44" s="13">
        <f t="shared" ref="N44:P44" si="48">N14-N29</f>
        <v>16</v>
      </c>
      <c r="O44" s="13">
        <f t="shared" si="48"/>
        <v>24</v>
      </c>
      <c r="P44" s="13">
        <f t="shared" si="48"/>
        <v>35</v>
      </c>
      <c r="Q44" s="13"/>
      <c r="R44" s="13"/>
    </row>
    <row r="45">
      <c r="A45" s="2" t="s">
        <v>36</v>
      </c>
      <c r="B45" s="3">
        <f t="shared" ref="B45:J45" si="49">B15-B30</f>
        <v>2</v>
      </c>
      <c r="C45" s="3">
        <f t="shared" si="49"/>
        <v>3</v>
      </c>
      <c r="D45" s="3">
        <f t="shared" si="49"/>
        <v>3</v>
      </c>
      <c r="E45" s="3">
        <f t="shared" si="49"/>
        <v>3</v>
      </c>
      <c r="F45" s="3">
        <f t="shared" si="49"/>
        <v>3</v>
      </c>
      <c r="G45" s="3">
        <f t="shared" si="49"/>
        <v>3</v>
      </c>
      <c r="H45" s="3">
        <f t="shared" si="49"/>
        <v>3</v>
      </c>
      <c r="I45" s="3">
        <f t="shared" si="49"/>
        <v>4</v>
      </c>
      <c r="J45" s="3">
        <f t="shared" si="49"/>
        <v>4</v>
      </c>
      <c r="N45" s="16">
        <f t="shared" ref="N45:P45" si="50">N15-N30</f>
        <v>8</v>
      </c>
      <c r="O45" s="16">
        <f t="shared" si="50"/>
        <v>9</v>
      </c>
      <c r="P45" s="16">
        <f t="shared" si="50"/>
        <v>11</v>
      </c>
      <c r="Q45" s="16"/>
      <c r="R45" s="16"/>
    </row>
    <row r="46">
      <c r="A46" s="1" t="s">
        <v>37</v>
      </c>
      <c r="B46" s="12">
        <f t="shared" ref="B46:J46" si="51">B16-B31</f>
        <v>4</v>
      </c>
      <c r="C46" s="12">
        <f t="shared" si="51"/>
        <v>2</v>
      </c>
      <c r="D46" s="12">
        <f t="shared" si="51"/>
        <v>2</v>
      </c>
      <c r="E46" s="12">
        <f t="shared" si="51"/>
        <v>8</v>
      </c>
      <c r="F46" s="12">
        <f t="shared" si="51"/>
        <v>5</v>
      </c>
      <c r="G46" s="12">
        <f t="shared" si="51"/>
        <v>2</v>
      </c>
      <c r="H46" s="12">
        <f t="shared" si="51"/>
        <v>6</v>
      </c>
      <c r="I46" s="12">
        <f t="shared" si="51"/>
        <v>6</v>
      </c>
      <c r="J46" s="12">
        <f t="shared" si="51"/>
        <v>12</v>
      </c>
      <c r="K46" s="12"/>
      <c r="L46" s="12"/>
      <c r="M46" s="12"/>
      <c r="N46" s="13">
        <f t="shared" ref="N46:P46" si="52">N16-N31</f>
        <v>8</v>
      </c>
      <c r="O46" s="13">
        <f t="shared" si="52"/>
        <v>15</v>
      </c>
      <c r="P46" s="13">
        <f t="shared" si="52"/>
        <v>24</v>
      </c>
      <c r="Q46" s="13"/>
      <c r="R46" s="13"/>
    </row>
    <row r="48">
      <c r="A48" s="1" t="s">
        <v>231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3"/>
      <c r="O48" s="13"/>
      <c r="P48" s="13"/>
      <c r="Q48" s="13"/>
      <c r="R48" s="13"/>
    </row>
    <row r="49">
      <c r="A49" s="1" t="s">
        <v>224</v>
      </c>
      <c r="B49" s="1" t="s">
        <v>185</v>
      </c>
      <c r="C49" s="1" t="s">
        <v>186</v>
      </c>
      <c r="D49" s="1" t="s">
        <v>187</v>
      </c>
      <c r="E49" s="1" t="s">
        <v>188</v>
      </c>
      <c r="F49" s="1" t="s">
        <v>189</v>
      </c>
      <c r="G49" s="1" t="s">
        <v>190</v>
      </c>
      <c r="H49" s="1" t="s">
        <v>191</v>
      </c>
      <c r="I49" s="1" t="s">
        <v>192</v>
      </c>
      <c r="J49" s="1" t="s">
        <v>193</v>
      </c>
      <c r="K49" s="1" t="s">
        <v>194</v>
      </c>
      <c r="L49" s="1" t="s">
        <v>195</v>
      </c>
      <c r="M49" s="1" t="s">
        <v>196</v>
      </c>
      <c r="N49" s="14" t="s">
        <v>197</v>
      </c>
      <c r="O49" s="14" t="s">
        <v>198</v>
      </c>
      <c r="P49" s="14" t="s">
        <v>199</v>
      </c>
      <c r="Q49" s="14" t="s">
        <v>200</v>
      </c>
      <c r="R49" s="14" t="s">
        <v>201</v>
      </c>
    </row>
    <row r="50">
      <c r="A50" s="2" t="s">
        <v>29</v>
      </c>
      <c r="B50" s="15">
        <v>314.0</v>
      </c>
      <c r="C50" s="15">
        <v>323.0</v>
      </c>
      <c r="D50" s="15">
        <v>343.0</v>
      </c>
      <c r="E50" s="15">
        <v>330.0</v>
      </c>
      <c r="F50" s="15">
        <v>340.0</v>
      </c>
      <c r="G50" s="15">
        <v>360.0</v>
      </c>
      <c r="H50" s="15">
        <v>346.0</v>
      </c>
      <c r="I50" s="15">
        <v>356.0</v>
      </c>
      <c r="J50" s="15">
        <v>378.0</v>
      </c>
      <c r="K50" s="15">
        <v>358.0</v>
      </c>
      <c r="L50" s="15">
        <v>370.0</v>
      </c>
      <c r="M50" s="15">
        <v>392.0</v>
      </c>
      <c r="N50" s="16">
        <f t="shared" ref="N50:N51" si="53">SUM(B50:D50)</f>
        <v>980</v>
      </c>
      <c r="O50" s="16">
        <f t="shared" ref="O50:O51" si="54">SUM(E50:G50)</f>
        <v>1030</v>
      </c>
      <c r="P50" s="16">
        <f t="shared" ref="P50:P51" si="55">SUM(H50:J50)</f>
        <v>1080</v>
      </c>
      <c r="Q50" s="16">
        <f t="shared" ref="Q50:Q51" si="56">SUM(K50:M50)</f>
        <v>1120</v>
      </c>
      <c r="R50" s="16">
        <f t="shared" ref="R50:R51" si="57">SUM(B50:M50)</f>
        <v>4210</v>
      </c>
    </row>
    <row r="51">
      <c r="A51" s="2" t="s">
        <v>30</v>
      </c>
      <c r="B51" s="15">
        <v>141.0</v>
      </c>
      <c r="C51" s="15">
        <v>145.0</v>
      </c>
      <c r="D51" s="15">
        <v>154.0</v>
      </c>
      <c r="E51" s="15">
        <v>146.0</v>
      </c>
      <c r="F51" s="15">
        <v>150.0</v>
      </c>
      <c r="G51" s="15">
        <v>159.0</v>
      </c>
      <c r="H51" s="15">
        <v>150.0</v>
      </c>
      <c r="I51" s="15">
        <v>155.0</v>
      </c>
      <c r="J51" s="15">
        <v>165.0</v>
      </c>
      <c r="K51" s="15">
        <v>155.0</v>
      </c>
      <c r="L51" s="15">
        <v>160.0</v>
      </c>
      <c r="M51" s="15">
        <v>170.0</v>
      </c>
      <c r="N51" s="16">
        <f t="shared" si="53"/>
        <v>440</v>
      </c>
      <c r="O51" s="16">
        <f t="shared" si="54"/>
        <v>455</v>
      </c>
      <c r="P51" s="16">
        <f t="shared" si="55"/>
        <v>470</v>
      </c>
      <c r="Q51" s="16">
        <f t="shared" si="56"/>
        <v>485</v>
      </c>
      <c r="R51" s="16">
        <f t="shared" si="57"/>
        <v>1850</v>
      </c>
    </row>
    <row r="52">
      <c r="A52" s="1" t="s">
        <v>31</v>
      </c>
      <c r="B52" s="12">
        <f t="shared" ref="B52:R52" si="58">B50-B51</f>
        <v>173</v>
      </c>
      <c r="C52" s="12">
        <f t="shared" si="58"/>
        <v>178</v>
      </c>
      <c r="D52" s="12">
        <f t="shared" si="58"/>
        <v>189</v>
      </c>
      <c r="E52" s="12">
        <f t="shared" si="58"/>
        <v>184</v>
      </c>
      <c r="F52" s="12">
        <f t="shared" si="58"/>
        <v>190</v>
      </c>
      <c r="G52" s="12">
        <f t="shared" si="58"/>
        <v>201</v>
      </c>
      <c r="H52" s="12">
        <f t="shared" si="58"/>
        <v>196</v>
      </c>
      <c r="I52" s="12">
        <f t="shared" si="58"/>
        <v>201</v>
      </c>
      <c r="J52" s="12">
        <f t="shared" si="58"/>
        <v>213</v>
      </c>
      <c r="K52" s="12">
        <f t="shared" si="58"/>
        <v>203</v>
      </c>
      <c r="L52" s="12">
        <f t="shared" si="58"/>
        <v>210</v>
      </c>
      <c r="M52" s="12">
        <f t="shared" si="58"/>
        <v>222</v>
      </c>
      <c r="N52" s="13">
        <f t="shared" si="58"/>
        <v>540</v>
      </c>
      <c r="O52" s="13">
        <f t="shared" si="58"/>
        <v>575</v>
      </c>
      <c r="P52" s="13">
        <f t="shared" si="58"/>
        <v>610</v>
      </c>
      <c r="Q52" s="13">
        <f t="shared" si="58"/>
        <v>635</v>
      </c>
      <c r="R52" s="13">
        <f t="shared" si="58"/>
        <v>2360</v>
      </c>
    </row>
    <row r="53">
      <c r="A53" s="2" t="s">
        <v>225</v>
      </c>
      <c r="B53" s="15">
        <v>53.0</v>
      </c>
      <c r="C53" s="15">
        <v>54.0</v>
      </c>
      <c r="D53" s="15">
        <v>58.0</v>
      </c>
      <c r="E53" s="15">
        <v>54.0</v>
      </c>
      <c r="F53" s="15">
        <v>56.0</v>
      </c>
      <c r="G53" s="15">
        <v>60.0</v>
      </c>
      <c r="H53" s="15">
        <v>56.0</v>
      </c>
      <c r="I53" s="15">
        <v>58.0</v>
      </c>
      <c r="J53" s="15">
        <v>62.0</v>
      </c>
      <c r="K53" s="15">
        <v>58.0</v>
      </c>
      <c r="L53" s="15">
        <v>60.0</v>
      </c>
      <c r="M53" s="15">
        <v>64.0</v>
      </c>
      <c r="N53" s="16">
        <f t="shared" ref="N53:N55" si="59">SUM(B53:D53)</f>
        <v>165</v>
      </c>
      <c r="O53" s="16">
        <f t="shared" ref="O53:O55" si="60">SUM(E53:G53)</f>
        <v>170</v>
      </c>
      <c r="P53" s="16">
        <f t="shared" ref="P53:P55" si="61">SUM(H53:J53)</f>
        <v>176</v>
      </c>
      <c r="Q53" s="16">
        <f t="shared" ref="Q53:Q55" si="62">SUM(K53:M53)</f>
        <v>182</v>
      </c>
      <c r="R53" s="16">
        <f t="shared" ref="R53:R55" si="63">SUM(B53:M53)</f>
        <v>693</v>
      </c>
    </row>
    <row r="54">
      <c r="A54" s="2" t="s">
        <v>226</v>
      </c>
      <c r="B54" s="15">
        <v>41.0</v>
      </c>
      <c r="C54" s="15">
        <v>42.0</v>
      </c>
      <c r="D54" s="15">
        <v>45.0</v>
      </c>
      <c r="E54" s="15">
        <v>42.0</v>
      </c>
      <c r="F54" s="15">
        <v>44.0</v>
      </c>
      <c r="G54" s="15">
        <v>46.0</v>
      </c>
      <c r="H54" s="15">
        <v>44.0</v>
      </c>
      <c r="I54" s="15">
        <v>45.0</v>
      </c>
      <c r="J54" s="15">
        <v>48.0</v>
      </c>
      <c r="K54" s="15">
        <v>45.0</v>
      </c>
      <c r="L54" s="15">
        <v>47.0</v>
      </c>
      <c r="M54" s="15">
        <v>49.0</v>
      </c>
      <c r="N54" s="16">
        <f t="shared" si="59"/>
        <v>128</v>
      </c>
      <c r="O54" s="16">
        <f t="shared" si="60"/>
        <v>132</v>
      </c>
      <c r="P54" s="16">
        <f t="shared" si="61"/>
        <v>137</v>
      </c>
      <c r="Q54" s="16">
        <f t="shared" si="62"/>
        <v>141</v>
      </c>
      <c r="R54" s="16">
        <f t="shared" si="63"/>
        <v>538</v>
      </c>
    </row>
    <row r="55">
      <c r="A55" s="2" t="s">
        <v>227</v>
      </c>
      <c r="B55" s="15">
        <v>23.0</v>
      </c>
      <c r="C55" s="15">
        <v>24.0</v>
      </c>
      <c r="D55" s="15">
        <v>25.0</v>
      </c>
      <c r="E55" s="15">
        <v>24.0</v>
      </c>
      <c r="F55" s="15">
        <v>25.0</v>
      </c>
      <c r="G55" s="15">
        <v>26.0</v>
      </c>
      <c r="H55" s="15">
        <v>25.0</v>
      </c>
      <c r="I55" s="15">
        <v>25.0</v>
      </c>
      <c r="J55" s="15">
        <v>27.0</v>
      </c>
      <c r="K55" s="15">
        <v>26.0</v>
      </c>
      <c r="L55" s="15">
        <v>26.0</v>
      </c>
      <c r="M55" s="15">
        <v>28.0</v>
      </c>
      <c r="N55" s="16">
        <f t="shared" si="59"/>
        <v>72</v>
      </c>
      <c r="O55" s="16">
        <f t="shared" si="60"/>
        <v>75</v>
      </c>
      <c r="P55" s="16">
        <f t="shared" si="61"/>
        <v>77</v>
      </c>
      <c r="Q55" s="16">
        <f t="shared" si="62"/>
        <v>80</v>
      </c>
      <c r="R55" s="16">
        <f t="shared" si="63"/>
        <v>304</v>
      </c>
    </row>
    <row r="56">
      <c r="A56" s="1" t="s">
        <v>228</v>
      </c>
      <c r="B56" s="12">
        <f t="shared" ref="B56:R56" si="64">SUM(B53:B55)</f>
        <v>117</v>
      </c>
      <c r="C56" s="12">
        <f t="shared" si="64"/>
        <v>120</v>
      </c>
      <c r="D56" s="12">
        <f t="shared" si="64"/>
        <v>128</v>
      </c>
      <c r="E56" s="12">
        <f t="shared" si="64"/>
        <v>120</v>
      </c>
      <c r="F56" s="12">
        <f t="shared" si="64"/>
        <v>125</v>
      </c>
      <c r="G56" s="12">
        <f t="shared" si="64"/>
        <v>132</v>
      </c>
      <c r="H56" s="12">
        <f t="shared" si="64"/>
        <v>125</v>
      </c>
      <c r="I56" s="12">
        <f t="shared" si="64"/>
        <v>128</v>
      </c>
      <c r="J56" s="12">
        <f t="shared" si="64"/>
        <v>137</v>
      </c>
      <c r="K56" s="12">
        <f t="shared" si="64"/>
        <v>129</v>
      </c>
      <c r="L56" s="12">
        <f t="shared" si="64"/>
        <v>133</v>
      </c>
      <c r="M56" s="12">
        <f t="shared" si="64"/>
        <v>141</v>
      </c>
      <c r="N56" s="13">
        <f t="shared" si="64"/>
        <v>365</v>
      </c>
      <c r="O56" s="13">
        <f t="shared" si="64"/>
        <v>377</v>
      </c>
      <c r="P56" s="13">
        <f t="shared" si="64"/>
        <v>390</v>
      </c>
      <c r="Q56" s="13">
        <f t="shared" si="64"/>
        <v>403</v>
      </c>
      <c r="R56" s="13">
        <f t="shared" si="64"/>
        <v>1535</v>
      </c>
    </row>
    <row r="57">
      <c r="A57" s="1" t="s">
        <v>33</v>
      </c>
      <c r="B57" s="12">
        <f t="shared" ref="B57:R57" si="65">B52-B56</f>
        <v>56</v>
      </c>
      <c r="C57" s="12">
        <f t="shared" si="65"/>
        <v>58</v>
      </c>
      <c r="D57" s="12">
        <f t="shared" si="65"/>
        <v>61</v>
      </c>
      <c r="E57" s="12">
        <f t="shared" si="65"/>
        <v>64</v>
      </c>
      <c r="F57" s="12">
        <f t="shared" si="65"/>
        <v>65</v>
      </c>
      <c r="G57" s="12">
        <f t="shared" si="65"/>
        <v>69</v>
      </c>
      <c r="H57" s="12">
        <f t="shared" si="65"/>
        <v>71</v>
      </c>
      <c r="I57" s="12">
        <f t="shared" si="65"/>
        <v>73</v>
      </c>
      <c r="J57" s="12">
        <f t="shared" si="65"/>
        <v>76</v>
      </c>
      <c r="K57" s="12">
        <f t="shared" si="65"/>
        <v>74</v>
      </c>
      <c r="L57" s="12">
        <f t="shared" si="65"/>
        <v>77</v>
      </c>
      <c r="M57" s="12">
        <f t="shared" si="65"/>
        <v>81</v>
      </c>
      <c r="N57" s="13">
        <f t="shared" si="65"/>
        <v>175</v>
      </c>
      <c r="O57" s="13">
        <f t="shared" si="65"/>
        <v>198</v>
      </c>
      <c r="P57" s="13">
        <f t="shared" si="65"/>
        <v>220</v>
      </c>
      <c r="Q57" s="13">
        <f t="shared" si="65"/>
        <v>232</v>
      </c>
      <c r="R57" s="13">
        <f t="shared" si="65"/>
        <v>825</v>
      </c>
    </row>
    <row r="58">
      <c r="A58" s="2" t="s">
        <v>34</v>
      </c>
      <c r="B58" s="15">
        <v>4.0</v>
      </c>
      <c r="C58" s="15">
        <v>5.0</v>
      </c>
      <c r="D58" s="15">
        <v>5.0</v>
      </c>
      <c r="E58" s="15">
        <v>4.0</v>
      </c>
      <c r="F58" s="15">
        <v>5.0</v>
      </c>
      <c r="G58" s="15">
        <v>5.0</v>
      </c>
      <c r="H58" s="15">
        <v>5.0</v>
      </c>
      <c r="I58" s="15">
        <v>5.0</v>
      </c>
      <c r="J58" s="15">
        <v>5.0</v>
      </c>
      <c r="K58" s="15">
        <v>5.0</v>
      </c>
      <c r="L58" s="15">
        <v>5.0</v>
      </c>
      <c r="M58" s="15">
        <v>6.0</v>
      </c>
      <c r="N58" s="16">
        <f>SUM(B58:D58)</f>
        <v>14</v>
      </c>
      <c r="O58" s="16">
        <f>SUM(E58:G58)</f>
        <v>14</v>
      </c>
      <c r="P58" s="16">
        <f>SUM(H58:J58)</f>
        <v>15</v>
      </c>
      <c r="Q58" s="16">
        <f>SUM(K58:M58)</f>
        <v>16</v>
      </c>
      <c r="R58" s="16">
        <f>SUM(B58:M58)</f>
        <v>59</v>
      </c>
    </row>
    <row r="59">
      <c r="A59" s="1" t="s">
        <v>35</v>
      </c>
      <c r="B59" s="12">
        <f t="shared" ref="B59:R59" si="66">B57-B58</f>
        <v>52</v>
      </c>
      <c r="C59" s="12">
        <f t="shared" si="66"/>
        <v>53</v>
      </c>
      <c r="D59" s="12">
        <f t="shared" si="66"/>
        <v>56</v>
      </c>
      <c r="E59" s="12">
        <f t="shared" si="66"/>
        <v>60</v>
      </c>
      <c r="F59" s="12">
        <f t="shared" si="66"/>
        <v>60</v>
      </c>
      <c r="G59" s="12">
        <f t="shared" si="66"/>
        <v>64</v>
      </c>
      <c r="H59" s="12">
        <f t="shared" si="66"/>
        <v>66</v>
      </c>
      <c r="I59" s="12">
        <f t="shared" si="66"/>
        <v>68</v>
      </c>
      <c r="J59" s="12">
        <f t="shared" si="66"/>
        <v>71</v>
      </c>
      <c r="K59" s="12">
        <f t="shared" si="66"/>
        <v>69</v>
      </c>
      <c r="L59" s="12">
        <f t="shared" si="66"/>
        <v>72</v>
      </c>
      <c r="M59" s="12">
        <f t="shared" si="66"/>
        <v>75</v>
      </c>
      <c r="N59" s="13">
        <f t="shared" si="66"/>
        <v>161</v>
      </c>
      <c r="O59" s="13">
        <f t="shared" si="66"/>
        <v>184</v>
      </c>
      <c r="P59" s="13">
        <f t="shared" si="66"/>
        <v>205</v>
      </c>
      <c r="Q59" s="13">
        <f t="shared" si="66"/>
        <v>216</v>
      </c>
      <c r="R59" s="13">
        <f t="shared" si="66"/>
        <v>766</v>
      </c>
    </row>
    <row r="60">
      <c r="A60" s="2" t="s">
        <v>36</v>
      </c>
      <c r="B60" s="15">
        <v>13.0</v>
      </c>
      <c r="C60" s="15">
        <v>13.0</v>
      </c>
      <c r="D60" s="15">
        <v>14.0</v>
      </c>
      <c r="E60" s="15">
        <v>13.0</v>
      </c>
      <c r="F60" s="15">
        <v>14.0</v>
      </c>
      <c r="G60" s="15">
        <v>15.0</v>
      </c>
      <c r="H60" s="15">
        <v>14.0</v>
      </c>
      <c r="I60" s="15">
        <v>15.0</v>
      </c>
      <c r="J60" s="15">
        <v>16.0</v>
      </c>
      <c r="K60" s="15">
        <v>15.0</v>
      </c>
      <c r="L60" s="15">
        <v>16.0</v>
      </c>
      <c r="M60" s="15">
        <v>16.0</v>
      </c>
      <c r="N60" s="16">
        <f>SUM(B60:D60)</f>
        <v>40</v>
      </c>
      <c r="O60" s="16">
        <f>SUM(E60:G60)</f>
        <v>42</v>
      </c>
      <c r="P60" s="16">
        <f>SUM(H60:J60)</f>
        <v>45</v>
      </c>
      <c r="Q60" s="16">
        <f>SUM(K60:M60)</f>
        <v>47</v>
      </c>
      <c r="R60" s="16">
        <f>SUM(B60:M60)</f>
        <v>174</v>
      </c>
    </row>
    <row r="61">
      <c r="A61" s="1" t="s">
        <v>37</v>
      </c>
      <c r="B61" s="12">
        <f t="shared" ref="B61:R61" si="67">B59-B60</f>
        <v>39</v>
      </c>
      <c r="C61" s="12">
        <f t="shared" si="67"/>
        <v>40</v>
      </c>
      <c r="D61" s="12">
        <f t="shared" si="67"/>
        <v>42</v>
      </c>
      <c r="E61" s="12">
        <f t="shared" si="67"/>
        <v>47</v>
      </c>
      <c r="F61" s="12">
        <f t="shared" si="67"/>
        <v>46</v>
      </c>
      <c r="G61" s="12">
        <f t="shared" si="67"/>
        <v>49</v>
      </c>
      <c r="H61" s="12">
        <f t="shared" si="67"/>
        <v>52</v>
      </c>
      <c r="I61" s="12">
        <f t="shared" si="67"/>
        <v>53</v>
      </c>
      <c r="J61" s="12">
        <f t="shared" si="67"/>
        <v>55</v>
      </c>
      <c r="K61" s="12">
        <f t="shared" si="67"/>
        <v>54</v>
      </c>
      <c r="L61" s="12">
        <f t="shared" si="67"/>
        <v>56</v>
      </c>
      <c r="M61" s="12">
        <f t="shared" si="67"/>
        <v>59</v>
      </c>
      <c r="N61" s="13">
        <f t="shared" si="67"/>
        <v>121</v>
      </c>
      <c r="O61" s="13">
        <f t="shared" si="67"/>
        <v>142</v>
      </c>
      <c r="P61" s="13">
        <f t="shared" si="67"/>
        <v>160</v>
      </c>
      <c r="Q61" s="13">
        <f t="shared" si="67"/>
        <v>169</v>
      </c>
      <c r="R61" s="13">
        <f t="shared" si="67"/>
        <v>592</v>
      </c>
    </row>
    <row r="63">
      <c r="A63" s="1" t="s">
        <v>232</v>
      </c>
      <c r="B63" s="2" t="s">
        <v>233</v>
      </c>
    </row>
  </sheetData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8.88"/>
    <col customWidth="1" min="2" max="2" width="42.63"/>
    <col customWidth="1" min="3" max="3" width="4.88"/>
  </cols>
  <sheetData>
    <row r="1">
      <c r="A1" s="1" t="s">
        <v>234</v>
      </c>
    </row>
    <row r="2">
      <c r="A2" s="1" t="s">
        <v>235</v>
      </c>
      <c r="B2" s="1" t="s">
        <v>236</v>
      </c>
      <c r="C2" s="1" t="s">
        <v>237</v>
      </c>
    </row>
    <row r="3">
      <c r="A3" s="2" t="s">
        <v>238</v>
      </c>
      <c r="B3" s="3">
        <f>'P&amp;L Monthly'!P50</f>
        <v>1080</v>
      </c>
      <c r="C3" s="2" t="s">
        <v>47</v>
      </c>
    </row>
    <row r="4">
      <c r="A4" s="2" t="s">
        <v>48</v>
      </c>
      <c r="B4" s="15">
        <v>110.0</v>
      </c>
      <c r="C4" s="2" t="s">
        <v>49</v>
      </c>
    </row>
    <row r="5">
      <c r="A5" s="2" t="s">
        <v>50</v>
      </c>
      <c r="B5" s="15">
        <v>70.0</v>
      </c>
      <c r="C5" s="2" t="s">
        <v>49</v>
      </c>
    </row>
    <row r="6">
      <c r="A6" s="2" t="s">
        <v>51</v>
      </c>
      <c r="B6" s="15">
        <v>30.0</v>
      </c>
      <c r="C6" s="2" t="s">
        <v>49</v>
      </c>
    </row>
    <row r="7">
      <c r="A7" s="2" t="s">
        <v>52</v>
      </c>
      <c r="B7" s="15">
        <v>-34.0</v>
      </c>
      <c r="C7" s="2" t="s">
        <v>53</v>
      </c>
    </row>
    <row r="8">
      <c r="A8" s="2" t="s">
        <v>54</v>
      </c>
      <c r="B8" s="15">
        <v>-16.0</v>
      </c>
      <c r="C8" s="2" t="s">
        <v>53</v>
      </c>
    </row>
    <row r="9">
      <c r="A9" s="1" t="s">
        <v>55</v>
      </c>
      <c r="B9" s="12">
        <f>'P&amp;L Monthly'!P5</f>
        <v>1240</v>
      </c>
      <c r="C9" s="1" t="s">
        <v>56</v>
      </c>
    </row>
    <row r="11">
      <c r="A11" s="1" t="s">
        <v>239</v>
      </c>
      <c r="B11" s="12">
        <f>B9-B3</f>
        <v>160</v>
      </c>
    </row>
    <row r="12">
      <c r="A12" s="2" t="s">
        <v>240</v>
      </c>
      <c r="B12" s="3">
        <f>SUM(B4:B8)</f>
        <v>160</v>
      </c>
    </row>
    <row r="13">
      <c r="A13" s="2" t="s">
        <v>241</v>
      </c>
      <c r="B13" s="3">
        <f>B11-B12</f>
        <v>0</v>
      </c>
    </row>
    <row r="15">
      <c r="A15" s="1" t="s">
        <v>58</v>
      </c>
      <c r="B15" s="2" t="s">
        <v>242</v>
      </c>
    </row>
  </sheetData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7.63"/>
    <col customWidth="1" min="2" max="2" width="10.63"/>
    <col customWidth="1" min="3" max="3" width="6.25"/>
  </cols>
  <sheetData>
    <row r="1">
      <c r="A1" s="1" t="s">
        <v>243</v>
      </c>
    </row>
    <row r="3">
      <c r="A3" s="1" t="s">
        <v>244</v>
      </c>
      <c r="B3" s="1" t="s">
        <v>245</v>
      </c>
      <c r="C3" s="1" t="s">
        <v>212</v>
      </c>
    </row>
    <row r="4">
      <c r="A4" s="2" t="s">
        <v>153</v>
      </c>
      <c r="B4" s="15">
        <v>57.0</v>
      </c>
      <c r="C4" s="8">
        <f t="shared" ref="C4:C9" si="1">B4/$B$9</f>
        <v>0.2663551402</v>
      </c>
    </row>
    <row r="5">
      <c r="A5" s="2" t="s">
        <v>154</v>
      </c>
      <c r="B5" s="15">
        <v>80.0</v>
      </c>
      <c r="C5" s="8">
        <f t="shared" si="1"/>
        <v>0.3738317757</v>
      </c>
    </row>
    <row r="6">
      <c r="A6" s="2" t="s">
        <v>42</v>
      </c>
      <c r="B6" s="3">
        <f>B18</f>
        <v>58</v>
      </c>
      <c r="C6" s="8">
        <f t="shared" si="1"/>
        <v>0.2710280374</v>
      </c>
    </row>
    <row r="7">
      <c r="A7" s="2" t="s">
        <v>246</v>
      </c>
      <c r="B7" s="15">
        <v>11.0</v>
      </c>
      <c r="C7" s="8">
        <f t="shared" si="1"/>
        <v>0.05140186916</v>
      </c>
    </row>
    <row r="8">
      <c r="A8" s="2" t="s">
        <v>155</v>
      </c>
      <c r="B8" s="15">
        <v>8.0</v>
      </c>
      <c r="C8" s="8">
        <f t="shared" si="1"/>
        <v>0.03738317757</v>
      </c>
    </row>
    <row r="9">
      <c r="A9" s="1" t="s">
        <v>247</v>
      </c>
      <c r="B9" s="12">
        <f>SUM(B4:B8)</f>
        <v>214</v>
      </c>
      <c r="C9" s="8">
        <f t="shared" si="1"/>
        <v>1</v>
      </c>
    </row>
    <row r="11">
      <c r="A11" s="1" t="s">
        <v>248</v>
      </c>
      <c r="B11" s="12">
        <f>B4+B5</f>
        <v>137</v>
      </c>
    </row>
    <row r="12">
      <c r="A12" s="2" t="s">
        <v>249</v>
      </c>
      <c r="B12" s="3">
        <f>'P&amp;L Monthly'!P16</f>
        <v>212</v>
      </c>
    </row>
    <row r="13">
      <c r="A13" s="1" t="s">
        <v>250</v>
      </c>
      <c r="B13" s="18">
        <f>B11/B12</f>
        <v>0.6462264151</v>
      </c>
    </row>
    <row r="16">
      <c r="A16" s="1" t="s">
        <v>251</v>
      </c>
      <c r="B16" s="1" t="s">
        <v>252</v>
      </c>
      <c r="C16" s="12"/>
    </row>
    <row r="17">
      <c r="A17" s="2" t="s">
        <v>253</v>
      </c>
      <c r="B17" s="3">
        <f>B22+B32+B33+B34</f>
        <v>316</v>
      </c>
    </row>
    <row r="18">
      <c r="A18" s="2" t="s">
        <v>254</v>
      </c>
      <c r="B18" s="15">
        <v>58.0</v>
      </c>
    </row>
    <row r="19">
      <c r="A19" s="2" t="s">
        <v>255</v>
      </c>
      <c r="B19" s="15">
        <v>60.0</v>
      </c>
    </row>
    <row r="20">
      <c r="A20" s="1" t="s">
        <v>158</v>
      </c>
      <c r="B20" s="12">
        <f>B17-B18</f>
        <v>258</v>
      </c>
    </row>
    <row r="21">
      <c r="A21" s="2" t="s">
        <v>256</v>
      </c>
      <c r="B21" s="19">
        <v>88.0</v>
      </c>
    </row>
    <row r="22">
      <c r="A22" s="2" t="s">
        <v>249</v>
      </c>
      <c r="B22" s="3">
        <f>'P&amp;L Monthly'!P16</f>
        <v>212</v>
      </c>
    </row>
    <row r="23">
      <c r="A23" s="1" t="s">
        <v>20</v>
      </c>
      <c r="B23" s="20">
        <f>B22/B21</f>
        <v>2.409090909</v>
      </c>
    </row>
    <row r="24">
      <c r="A24" s="2" t="s">
        <v>257</v>
      </c>
      <c r="B24" s="19">
        <v>89.0</v>
      </c>
    </row>
    <row r="25">
      <c r="A25" s="2" t="s">
        <v>258</v>
      </c>
      <c r="B25" s="3">
        <f>'P&amp;L Monthly'!P61</f>
        <v>160</v>
      </c>
    </row>
    <row r="26">
      <c r="A26" s="2" t="s">
        <v>259</v>
      </c>
      <c r="B26" s="21">
        <f>B25/B24</f>
        <v>1.797752809</v>
      </c>
    </row>
    <row r="27">
      <c r="A27" s="1" t="s">
        <v>260</v>
      </c>
      <c r="B27" s="18">
        <f>B23/B26-1</f>
        <v>0.3400568182</v>
      </c>
    </row>
    <row r="28">
      <c r="A28" s="2" t="s">
        <v>261</v>
      </c>
      <c r="B28" s="15">
        <v>226.0</v>
      </c>
    </row>
    <row r="29">
      <c r="A29" s="1" t="s">
        <v>262</v>
      </c>
      <c r="B29" s="18">
        <f>B20/B28-1</f>
        <v>0.1415929204</v>
      </c>
    </row>
    <row r="31">
      <c r="A31" s="1" t="s">
        <v>263</v>
      </c>
      <c r="B31" s="1" t="s">
        <v>252</v>
      </c>
    </row>
    <row r="32">
      <c r="A32" s="2" t="s">
        <v>147</v>
      </c>
      <c r="B32" s="15">
        <v>64.0</v>
      </c>
    </row>
    <row r="33">
      <c r="A33" s="2" t="s">
        <v>148</v>
      </c>
      <c r="B33" s="15">
        <v>28.0</v>
      </c>
    </row>
    <row r="34">
      <c r="A34" s="2" t="s">
        <v>149</v>
      </c>
      <c r="B34" s="15">
        <v>12.0</v>
      </c>
    </row>
    <row r="35">
      <c r="A35" s="1" t="s">
        <v>264</v>
      </c>
      <c r="B35" s="12">
        <f>-B18-B7</f>
        <v>-69</v>
      </c>
    </row>
    <row r="36">
      <c r="A36" s="1" t="s">
        <v>265</v>
      </c>
      <c r="B36" s="12">
        <f>-B4-B5-B8</f>
        <v>-145</v>
      </c>
    </row>
    <row r="37">
      <c r="A37" s="1" t="s">
        <v>266</v>
      </c>
      <c r="B37" s="12">
        <f>B17+B35+B36</f>
        <v>102</v>
      </c>
    </row>
  </sheetData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75"/>
  <cols>
    <col customWidth="1" min="1" max="1" width="31.38"/>
    <col customWidth="1" min="2" max="2" width="10.63"/>
    <col customWidth="1" min="3" max="3" width="4.63"/>
  </cols>
  <sheetData>
    <row r="1">
      <c r="A1" s="1" t="s">
        <v>267</v>
      </c>
    </row>
    <row r="3">
      <c r="A3" s="1" t="s">
        <v>267</v>
      </c>
      <c r="B3" s="1" t="s">
        <v>55</v>
      </c>
      <c r="C3" s="1" t="s">
        <v>268</v>
      </c>
    </row>
    <row r="4">
      <c r="A4" s="2" t="s">
        <v>162</v>
      </c>
      <c r="B4" s="3">
        <f>C4+'Capital &amp; Cash'!B37</f>
        <v>420</v>
      </c>
      <c r="C4" s="15">
        <v>318.0</v>
      </c>
    </row>
    <row r="5">
      <c r="A5" s="2" t="s">
        <v>163</v>
      </c>
      <c r="B5" s="15">
        <v>280.0</v>
      </c>
      <c r="C5" s="15">
        <v>262.0</v>
      </c>
    </row>
    <row r="6">
      <c r="A6" s="2" t="s">
        <v>164</v>
      </c>
      <c r="B6" s="3">
        <f>C6+'Capital &amp; Cash'!B18-'Capital &amp; Cash'!B32</f>
        <v>540</v>
      </c>
      <c r="C6" s="15">
        <v>546.0</v>
      </c>
    </row>
    <row r="7">
      <c r="A7" s="2" t="s">
        <v>165</v>
      </c>
      <c r="B7" s="3">
        <f>C7+'Capital &amp; Cash'!B7</f>
        <v>220</v>
      </c>
      <c r="C7" s="15">
        <v>209.0</v>
      </c>
    </row>
    <row r="8">
      <c r="A8" s="2" t="s">
        <v>166</v>
      </c>
      <c r="B8" s="15">
        <v>230.0</v>
      </c>
      <c r="C8" s="15">
        <v>224.0</v>
      </c>
    </row>
    <row r="9">
      <c r="A9" s="1" t="s">
        <v>167</v>
      </c>
      <c r="B9" s="12">
        <f t="shared" ref="B9:C9" si="1">SUM(B4:B8)</f>
        <v>1690</v>
      </c>
      <c r="C9" s="12">
        <f t="shared" si="1"/>
        <v>1559</v>
      </c>
    </row>
    <row r="10">
      <c r="A10" s="2" t="s">
        <v>168</v>
      </c>
      <c r="B10" s="15">
        <v>160.0</v>
      </c>
      <c r="C10" s="15">
        <v>152.0</v>
      </c>
    </row>
    <row r="11">
      <c r="A11" s="2" t="s">
        <v>169</v>
      </c>
      <c r="B11" s="15">
        <v>300.0</v>
      </c>
      <c r="C11" s="15">
        <v>272.0</v>
      </c>
    </row>
    <row r="12">
      <c r="A12" s="2" t="s">
        <v>170</v>
      </c>
      <c r="B12" s="3">
        <f>C12-'Capital &amp; Cash'!B8</f>
        <v>318</v>
      </c>
      <c r="C12" s="15">
        <v>326.0</v>
      </c>
    </row>
    <row r="13">
      <c r="A13" s="1" t="s">
        <v>171</v>
      </c>
      <c r="B13" s="12">
        <f t="shared" ref="B13:C13" si="2">SUM(B10:B12)</f>
        <v>778</v>
      </c>
      <c r="C13" s="12">
        <f t="shared" si="2"/>
        <v>750</v>
      </c>
    </row>
    <row r="14">
      <c r="A14" s="2" t="s">
        <v>172</v>
      </c>
      <c r="B14" s="3">
        <f>C14+'Capital &amp; Cash'!B33</f>
        <v>750</v>
      </c>
      <c r="C14" s="15">
        <v>722.0</v>
      </c>
    </row>
    <row r="15">
      <c r="A15" s="2" t="s">
        <v>173</v>
      </c>
      <c r="B15" s="3">
        <f>C15+'P&amp;L Monthly'!P16-'Capital &amp; Cash'!B4</f>
        <v>392</v>
      </c>
      <c r="C15" s="15">
        <v>237.0</v>
      </c>
    </row>
    <row r="16">
      <c r="A16" s="2" t="s">
        <v>174</v>
      </c>
      <c r="B16" s="3">
        <f>C16-'Capital &amp; Cash'!B5</f>
        <v>-230</v>
      </c>
      <c r="C16" s="15">
        <v>-150.0</v>
      </c>
    </row>
    <row r="17">
      <c r="A17" s="1" t="s">
        <v>175</v>
      </c>
      <c r="B17" s="12">
        <f t="shared" ref="B17:C17" si="3">SUM(B14:B16)</f>
        <v>912</v>
      </c>
      <c r="C17" s="12">
        <f t="shared" si="3"/>
        <v>809</v>
      </c>
    </row>
    <row r="18">
      <c r="A18" s="1" t="s">
        <v>176</v>
      </c>
      <c r="B18" s="12">
        <f t="shared" ref="B18:C18" si="4">B13+B17</f>
        <v>1690</v>
      </c>
      <c r="C18" s="12">
        <f t="shared" si="4"/>
        <v>1559</v>
      </c>
    </row>
    <row r="20">
      <c r="A20" s="1" t="s">
        <v>269</v>
      </c>
      <c r="B20" s="1" t="s">
        <v>270</v>
      </c>
    </row>
    <row r="21">
      <c r="A21" s="2" t="s">
        <v>271</v>
      </c>
      <c r="B21" s="15">
        <v>8.0</v>
      </c>
    </row>
    <row r="22">
      <c r="A22" s="2" t="s">
        <v>272</v>
      </c>
      <c r="B22" s="15">
        <v>40.0</v>
      </c>
    </row>
    <row r="23">
      <c r="A23" s="2" t="s">
        <v>273</v>
      </c>
      <c r="B23" s="15">
        <v>60.0</v>
      </c>
    </row>
    <row r="24">
      <c r="A24" s="2" t="s">
        <v>274</v>
      </c>
      <c r="B24" s="15">
        <v>90.0</v>
      </c>
    </row>
    <row r="25">
      <c r="A25" s="2" t="s">
        <v>275</v>
      </c>
      <c r="B25" s="15">
        <v>120.0</v>
      </c>
    </row>
    <row r="26">
      <c r="A26" s="1" t="s">
        <v>276</v>
      </c>
      <c r="B26" s="12">
        <f>SUM(B21:B25)</f>
        <v>318</v>
      </c>
    </row>
    <row r="28">
      <c r="A28" s="1" t="s">
        <v>277</v>
      </c>
      <c r="B28" s="22">
        <f t="array" ref="B28">SUMPRODUCT({1;2;3;4;5},B21:B25)/SUM(B21:B25)</f>
        <v>3.86163522</v>
      </c>
    </row>
  </sheetData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8.88"/>
    <col customWidth="1" min="2" max="2" width="6.38"/>
    <col customWidth="1" min="3" max="3" width="4.88"/>
  </cols>
  <sheetData>
    <row r="1">
      <c r="A1" s="1" t="s">
        <v>278</v>
      </c>
    </row>
    <row r="3">
      <c r="A3" s="1" t="s">
        <v>279</v>
      </c>
      <c r="B3" s="1" t="s">
        <v>55</v>
      </c>
      <c r="C3" s="1" t="s">
        <v>268</v>
      </c>
    </row>
    <row r="4">
      <c r="A4" s="2" t="s">
        <v>280</v>
      </c>
      <c r="B4" s="15">
        <v>1000.0</v>
      </c>
      <c r="C4" s="15">
        <v>1000.0</v>
      </c>
    </row>
    <row r="5">
      <c r="A5" s="23" t="s">
        <v>281</v>
      </c>
      <c r="B5" s="15">
        <v>230.0</v>
      </c>
      <c r="C5" s="15">
        <v>190.0</v>
      </c>
    </row>
    <row r="6">
      <c r="A6" s="2" t="s">
        <v>282</v>
      </c>
      <c r="B6" s="15">
        <v>30.0</v>
      </c>
      <c r="C6" s="15">
        <v>50.0</v>
      </c>
    </row>
    <row r="7">
      <c r="A7" s="2" t="s">
        <v>283</v>
      </c>
      <c r="B7" s="15">
        <v>20.0</v>
      </c>
      <c r="C7" s="15">
        <v>20.0</v>
      </c>
    </row>
    <row r="8">
      <c r="A8" s="1" t="s">
        <v>284</v>
      </c>
      <c r="B8" s="12">
        <f t="shared" ref="B8:C8" si="1">B4+B5-B6-B7</f>
        <v>1180</v>
      </c>
      <c r="C8" s="12">
        <f t="shared" si="1"/>
        <v>1120</v>
      </c>
    </row>
    <row r="9">
      <c r="A9" s="1" t="s">
        <v>285</v>
      </c>
      <c r="B9" s="24">
        <f t="shared" ref="B9:C9" si="2">B8/B4</f>
        <v>1.18</v>
      </c>
      <c r="C9" s="24">
        <f t="shared" si="2"/>
        <v>1.12</v>
      </c>
    </row>
    <row r="11">
      <c r="A11" s="1" t="s">
        <v>286</v>
      </c>
      <c r="B11" s="1" t="s">
        <v>55</v>
      </c>
      <c r="C11" s="1" t="s">
        <v>268</v>
      </c>
    </row>
    <row r="12">
      <c r="A12" s="2" t="s">
        <v>287</v>
      </c>
      <c r="B12" s="25">
        <v>2840.0</v>
      </c>
      <c r="C12" s="25">
        <v>2400.0</v>
      </c>
    </row>
    <row r="13">
      <c r="A13" s="2" t="s">
        <v>288</v>
      </c>
      <c r="B13" s="15">
        <v>40.0</v>
      </c>
      <c r="C13" s="15">
        <v>41.0</v>
      </c>
    </row>
    <row r="14">
      <c r="A14" s="1" t="s">
        <v>289</v>
      </c>
      <c r="B14" s="18">
        <f>B12/C12-1</f>
        <v>0.1833333333</v>
      </c>
      <c r="C14" s="12"/>
    </row>
    <row r="15">
      <c r="A15" s="1" t="s">
        <v>290</v>
      </c>
      <c r="B15" s="18">
        <f t="shared" ref="B15:C15" si="3">B13/B12</f>
        <v>0.01408450704</v>
      </c>
      <c r="C15" s="18">
        <f t="shared" si="3"/>
        <v>0.01708333333</v>
      </c>
    </row>
    <row r="17">
      <c r="A17" s="1" t="s">
        <v>291</v>
      </c>
      <c r="B17" s="1" t="s">
        <v>55</v>
      </c>
      <c r="C17" s="1" t="s">
        <v>268</v>
      </c>
    </row>
    <row r="18">
      <c r="A18" s="2" t="s">
        <v>74</v>
      </c>
      <c r="B18" s="15">
        <v>62.0</v>
      </c>
      <c r="C18" s="15">
        <v>58.0</v>
      </c>
    </row>
    <row r="19">
      <c r="A19" s="2" t="s">
        <v>292</v>
      </c>
      <c r="B19" s="15">
        <v>612.0</v>
      </c>
      <c r="C19" s="15">
        <v>558.0</v>
      </c>
    </row>
    <row r="20">
      <c r="A20" s="2" t="s">
        <v>293</v>
      </c>
      <c r="B20" s="15">
        <v>180.0</v>
      </c>
      <c r="C20" s="15">
        <v>180.0</v>
      </c>
    </row>
    <row r="21">
      <c r="A21" s="1" t="s">
        <v>294</v>
      </c>
      <c r="B21" s="26">
        <f t="shared" ref="B21:C21" si="4">B19/B20</f>
        <v>3.4</v>
      </c>
      <c r="C21" s="26">
        <f t="shared" si="4"/>
        <v>3.1</v>
      </c>
    </row>
    <row r="22">
      <c r="A22" s="2" t="s">
        <v>76</v>
      </c>
      <c r="B22" s="25">
        <v>1260.0</v>
      </c>
      <c r="C22" s="25">
        <v>1220.0</v>
      </c>
    </row>
  </sheetData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0.13"/>
    <col customWidth="1" min="2" max="2" width="10.25"/>
    <col customWidth="1" min="3" max="3" width="13.38"/>
    <col customWidth="1" min="4" max="4" width="15.63"/>
  </cols>
  <sheetData>
    <row r="1">
      <c r="A1" s="1" t="s">
        <v>134</v>
      </c>
    </row>
    <row r="3">
      <c r="A3" s="1" t="s">
        <v>295</v>
      </c>
      <c r="B3" s="1" t="s">
        <v>252</v>
      </c>
      <c r="C3" s="1" t="s">
        <v>296</v>
      </c>
      <c r="D3" s="1" t="s">
        <v>297</v>
      </c>
    </row>
    <row r="4">
      <c r="A4" s="2" t="s">
        <v>298</v>
      </c>
      <c r="B4" s="2" t="s">
        <v>135</v>
      </c>
      <c r="C4" s="2" t="s">
        <v>136</v>
      </c>
      <c r="D4" s="2" t="s">
        <v>137</v>
      </c>
    </row>
    <row r="5">
      <c r="A5" s="2" t="s">
        <v>138</v>
      </c>
      <c r="B5" s="2" t="s">
        <v>139</v>
      </c>
      <c r="C5" s="2" t="s">
        <v>136</v>
      </c>
      <c r="D5" s="2" t="s">
        <v>140</v>
      </c>
    </row>
    <row r="6">
      <c r="A6" s="2" t="s">
        <v>141</v>
      </c>
      <c r="B6" s="2" t="s">
        <v>142</v>
      </c>
      <c r="C6" s="2" t="s">
        <v>22</v>
      </c>
      <c r="D6" s="2" t="s">
        <v>143</v>
      </c>
    </row>
    <row r="8">
      <c r="A8" s="1" t="s">
        <v>299</v>
      </c>
    </row>
    <row r="9">
      <c r="A9" s="27" t="s">
        <v>300</v>
      </c>
    </row>
  </sheetData>
  <drawing r:id="rId2"/>
  <legacyDrawing r:id="rId3"/>
</worksheet>
</file>